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8" yWindow="-108" windowWidth="23256" windowHeight="13896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5" l="1"/>
  <c r="C17" i="5"/>
  <c r="C14" i="5"/>
  <c r="C13" i="5" l="1"/>
  <c r="D33" i="1" l="1"/>
  <c r="D77" i="1"/>
  <c r="D35" i="1"/>
  <c r="D32" i="1"/>
  <c r="E48" i="1"/>
  <c r="D43" i="1"/>
  <c r="D56" i="1"/>
  <c r="D36" i="1"/>
  <c r="D44" i="1" l="1"/>
  <c r="D38" i="1"/>
  <c r="D29" i="1"/>
  <c r="D26" i="1"/>
  <c r="B22" i="5"/>
  <c r="B14" i="5"/>
  <c r="B13" i="5"/>
  <c r="C64" i="1"/>
  <c r="C35" i="1"/>
  <c r="F41" i="1" l="1"/>
  <c r="D34" i="1" l="1"/>
  <c r="F39" i="1" l="1"/>
  <c r="D78" i="1"/>
  <c r="D96" i="1"/>
  <c r="D94" i="1" s="1"/>
  <c r="D98" i="1" l="1"/>
  <c r="D30" i="1" l="1"/>
  <c r="D97" i="1"/>
  <c r="F47" i="1" l="1"/>
  <c r="B25" i="5"/>
  <c r="C25" i="5"/>
  <c r="C18" i="5" l="1"/>
  <c r="C44" i="3"/>
  <c r="D13" i="5" l="1"/>
  <c r="D44" i="3" l="1"/>
  <c r="D10" i="4" l="1"/>
  <c r="C14" i="3" l="1"/>
  <c r="C13" i="3"/>
  <c r="F54" i="1" l="1"/>
  <c r="E50" i="1"/>
  <c r="C23" i="5"/>
  <c r="C27" i="5" s="1"/>
  <c r="C22" i="5"/>
  <c r="C26" i="5" s="1"/>
  <c r="B26" i="5" l="1"/>
  <c r="B18" i="5" l="1"/>
  <c r="F38" i="1" l="1"/>
  <c r="C98" i="1"/>
  <c r="C97" i="1"/>
  <c r="B23" i="5" l="1"/>
  <c r="D14" i="3"/>
  <c r="B20" i="5" l="1"/>
  <c r="B27" i="5"/>
  <c r="C78" i="1"/>
  <c r="F14" i="3" l="1"/>
  <c r="E89" i="1" l="1"/>
  <c r="C20" i="5" l="1"/>
  <c r="C19" i="5" l="1"/>
  <c r="D27" i="3"/>
  <c r="F10" i="3"/>
  <c r="C12" i="5" l="1"/>
  <c r="B17" i="5"/>
  <c r="B15" i="5" l="1"/>
  <c r="B19" i="5" s="1"/>
  <c r="B8" i="5"/>
  <c r="D15" i="5" l="1"/>
  <c r="F71" i="1" l="1"/>
  <c r="D75" i="1" l="1"/>
  <c r="D100" i="1" s="1"/>
  <c r="D91" i="1" s="1"/>
  <c r="C75" i="1"/>
  <c r="C55" i="1" s="1"/>
  <c r="C96" i="1"/>
  <c r="D55" i="1" l="1"/>
  <c r="E96" i="1"/>
  <c r="C26" i="1"/>
  <c r="C11" i="3" s="1"/>
  <c r="F75" i="1"/>
  <c r="E77" i="1"/>
  <c r="C94" i="1"/>
  <c r="F77" i="1"/>
  <c r="D15" i="2"/>
  <c r="E44" i="3"/>
  <c r="D101" i="1" l="1"/>
  <c r="E10" i="3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4" i="5"/>
  <c r="D21" i="5"/>
  <c r="D22" i="5"/>
  <c r="D23" i="5"/>
  <c r="F11" i="3" l="1"/>
  <c r="E13" i="3"/>
  <c r="E11" i="3"/>
  <c r="D17" i="5"/>
  <c r="D25" i="5"/>
  <c r="D20" i="5"/>
  <c r="D26" i="5"/>
  <c r="D19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22" i="3" l="1"/>
  <c r="C25" i="2"/>
  <c r="F25" i="2" s="1"/>
  <c r="C16" i="2"/>
  <c r="F16" i="2" s="1"/>
  <c r="C91" i="1"/>
  <c r="C92" i="1" s="1"/>
  <c r="C14" i="2" s="1"/>
  <c r="C101" i="1"/>
  <c r="D24" i="3"/>
  <c r="D25" i="1"/>
  <c r="D90" i="1" s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8" i="1"/>
  <c r="E8" i="2"/>
  <c r="F23" i="2" l="1"/>
  <c r="C45" i="3"/>
  <c r="D23" i="3"/>
  <c r="C27" i="3"/>
  <c r="F27" i="3" s="1"/>
  <c r="C31" i="3"/>
  <c r="C22" i="3"/>
  <c r="D92" i="1"/>
  <c r="D14" i="2" s="1"/>
  <c r="D13" i="2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E92" i="1" l="1"/>
  <c r="F92" i="1"/>
  <c r="D45" i="3"/>
  <c r="F45" i="3" s="1"/>
  <c r="E22" i="3"/>
  <c r="F22" i="3"/>
  <c r="E23" i="3"/>
  <c r="F23" i="3"/>
  <c r="E27" i="3"/>
  <c r="F21" i="2"/>
  <c r="C26" i="3"/>
  <c r="D31" i="3"/>
  <c r="E90" i="1"/>
  <c r="F90" i="1"/>
  <c r="F9" i="3"/>
  <c r="E15" i="2"/>
  <c r="E91" i="1"/>
  <c r="E9" i="3"/>
  <c r="F91" i="1"/>
  <c r="E21" i="2"/>
  <c r="E14" i="2" l="1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<sst xmlns="http://schemas.openxmlformats.org/spreadsheetml/2006/main" count="265" uniqueCount="197">
  <si>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</si>
  <si>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</si>
  <si>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</si>
  <si>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</si>
  <si>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</si>
  <si>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</si>
  <si>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</si>
  <si>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</si>
  <si>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</si>
  <si>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</si>
  <si>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</si>
  <si>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</si>
  <si>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</si>
  <si>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</si>
  <si>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</si>
  <si>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</si>
  <si>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</si>
  <si>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</si>
  <si>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</si>
  <si>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</si>
  <si>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</si>
  <si>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</si>
  <si>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</si>
  <si>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</si>
  <si>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</si>
  <si>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</si>
  <si>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</si>
  <si>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</si>
  <si>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</si>
  <si>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</si>
  <si>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</si>
  <si>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</si>
  <si>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</si>
  <si>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</si>
  <si>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</si>
  <si>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</si>
  <si>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</si>
  <si>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</si>
  <si>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</si>
  <si>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</si>
  <si>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</si>
  <si>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</si>
  <si>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</si>
  <si>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</si>
  <si>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</si>
  <si>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</si>
  <si>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</si>
  <si>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</si>
  <si>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</si>
  <si>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</si>
  <si>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</si>
  <si>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</si>
  <si>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</si>
  <si>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</si>
  <si>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</si>
  <si>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</si>
  <si>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</si>
  <si>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</si>
  <si>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</si>
  <si>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</si>
  <si>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</si>
  <si>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</si>
  <si>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</si>
  <si>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</si>
  <si>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</si>
  <si>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</si>
  <si>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</si>
  <si>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</si>
  <si>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</si>
  <si>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</si>
  <si>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</si>
  <si>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</si>
  <si>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</si>
  <si>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</si>
  <si>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</si>
  <si>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</si>
  <si>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</si>
  <si>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</si>
  <si>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</si>
  <si>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</si>
  <si>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</si>
  <si>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</si>
  <si>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</si>
  <si>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</si>
  <si>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</si>
  <si>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</si>
  <si>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</si>
  <si>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</si>
  <si>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</si>
  <si>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</si>
  <si>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</si>
  <si>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</si>
  <si>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</si>
  <si>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</si>
  <si>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</si>
  <si>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</si>
  <si>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</si>
  <si>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</si>
  <si>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</si>
  <si>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</si>
  <si>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</si>
  <si>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</si>
  <si>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</si>
  <si>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</si>
  <si>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</si>
  <si>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</si>
  <si>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</si>
  <si>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</si>
  <si>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</si>
  <si>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</si>
  <si>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</si>
  <si>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</si>
  <si>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</si>
  <si>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</si>
  <si>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</si>
  <si>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</si>
  <si>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</si>
  <si>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</si>
  <si>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</si>
  <si>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</si>
  <si>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</si>
  <si>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</si>
  <si>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</si>
  <si>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</si>
  <si>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</si>
  <si>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</si>
  <si>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</si>
  <si>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</si>
  <si>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</si>
  <si>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</si>
  <si>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</si>
  <si>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</si>
  <si>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</si>
  <si>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</si>
  <si>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</si>
  <si>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</si>
  <si>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</si>
  <si>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</si>
  <si>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</si>
  <si>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</si>
  <si>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</si>
  <si>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</si>
  <si>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</si>
  <si>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</si>
  <si>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</si>
  <si>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</si>
  <si>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</si>
  <si>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</si>
  <si>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</si>
  <si>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</si>
  <si>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</si>
  <si>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</si>
  <si>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</si>
  <si>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</si>
  <si>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</si>
  <si>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</si>
  <si>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</si>
  <si>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</si>
  <si>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</si>
  <si>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</si>
  <si>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</si>
  <si>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</si>
  <si>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</si>
  <si>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</si>
  <si>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</si>
  <si>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</si>
  <si>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</si>
  <si>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</si>
  <si>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</si>
  <si>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</si>
  <si>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</si>
  <si>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</si>
  <si>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</si>
  <si>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</si>
  <si>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</si>
  <si>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</si>
  <si>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</si>
  <si>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</si>
  <si>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</si>
  <si>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</si>
  <si>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</si>
  <si>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</si>
  <si>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</si>
  <si>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податок на доходи фізичних осіб(18%)</t>
  </si>
  <si>
    <t>Інші витрати (медичне обладнання та ін.)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</si>
  <si>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</si>
  <si>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</si>
  <si>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</si>
  <si>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Інші витрати (міські програми підтримки охорони здоров'я)</t>
  </si>
  <si>
    <t>Залишок нерозподіленого доходу на кінець звітного періоду (31.12.2024)</t>
  </si>
  <si>
    <t>за 1 квартал 2025 року</t>
  </si>
  <si>
    <t>Військовий збір 5%</t>
  </si>
  <si>
    <t>Інші цілі (заробітна плата та нарахування на заробітну плату)</t>
  </si>
  <si>
    <t>Додаток 1 до рішення</t>
  </si>
  <si>
    <t xml:space="preserve">Малинської міської ради </t>
  </si>
  <si>
    <t>74ї сесії 8-го скликання</t>
  </si>
  <si>
    <t>від 09.09.2025 № 1498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</si>
</sst>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 wrapText="1"/>
    </xf>
    <xf numFmtId="165" fontId="13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3" fillId="0" borderId="12" xfId="0" applyNumberFormat="1" applyFont="1" applyBorder="1" applyAlignment="1">
      <alignment vertical="center" wrapText="1"/>
    </xf>
    <xf numFmtId="164" fontId="13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165" fontId="13" fillId="2" borderId="12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164" fontId="13" fillId="0" borderId="12" xfId="0" applyNumberFormat="1" applyFont="1" applyFill="1" applyBorder="1" applyAlignment="1">
      <alignment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2" fontId="15" fillId="2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abSelected="1" view="pageBreakPreview" zoomScaleNormal="100" zoomScaleSheetLayoutView="100" workbookViewId="0">
      <selection activeCell="C4" sqref="C4:F4"/>
    </sheetView>
  </sheetViews>
  <sheetFormatPr defaultRowHeight="15.6" x14ac:dyDescent="0.3"/>
  <cols>
    <col min="1" max="1" width="44.109375" style="2" customWidth="1"/>
    <col min="2" max="2" width="8.33203125" style="5" customWidth="1"/>
    <col min="3" max="3" width="9.33203125" style="2" customWidth="1"/>
    <col min="4" max="4" width="10.5546875" style="2" customWidth="1"/>
    <col min="5" max="5" width="13.33203125" style="2" customWidth="1"/>
    <col min="6" max="6" width="13.6640625" style="2" customWidth="1"/>
    <col min="7" max="16384" width="8.88671875" style="2"/>
  </cols>
  <sheetData>
    <row r="1" spans="1:10" s="20" customFormat="1" ht="21" x14ac:dyDescent="0.3">
      <c r="B1" s="19"/>
      <c r="C1" s="19"/>
      <c r="F1" s="93" t="s">
        <v>193</v>
      </c>
    </row>
    <row r="2" spans="1:10" s="20" customFormat="1" ht="18" customHeight="1" x14ac:dyDescent="0.3">
      <c r="B2" s="115" t="s">
        <v>194</v>
      </c>
      <c r="C2" s="115"/>
      <c r="D2" s="115"/>
      <c r="E2" s="115"/>
      <c r="F2" s="115"/>
    </row>
    <row r="3" spans="1:10" s="20" customFormat="1" ht="18.600000000000001" customHeight="1" x14ac:dyDescent="0.3">
      <c r="B3" s="115" t="s">
        <v>195</v>
      </c>
      <c r="C3" s="115"/>
      <c r="D3" s="115"/>
      <c r="E3" s="115"/>
      <c r="F3" s="115"/>
    </row>
    <row r="4" spans="1:10" s="20" customFormat="1" ht="21" x14ac:dyDescent="0.3">
      <c r="B4" s="19"/>
      <c r="C4" s="115" t="s">
        <v>196</v>
      </c>
      <c r="D4" s="115"/>
      <c r="E4" s="115"/>
      <c r="F4" s="115"/>
    </row>
    <row r="5" spans="1:10" x14ac:dyDescent="0.3">
      <c r="B5" s="2"/>
    </row>
    <row r="6" spans="1:10" x14ac:dyDescent="0.3">
      <c r="A6" s="6"/>
      <c r="B6" s="118"/>
      <c r="C6" s="118"/>
      <c r="D6" s="119"/>
      <c r="E6" s="116" t="s">
        <v>0</v>
      </c>
      <c r="F6" s="117"/>
    </row>
    <row r="7" spans="1:10" ht="67.2" customHeight="1" x14ac:dyDescent="0.3">
      <c r="A7" s="7" t="s">
        <v>1</v>
      </c>
      <c r="B7" s="120" t="s">
        <v>165</v>
      </c>
      <c r="C7" s="121"/>
      <c r="D7" s="122"/>
      <c r="E7" s="7" t="s">
        <v>2</v>
      </c>
      <c r="F7" s="8">
        <v>38395183</v>
      </c>
    </row>
    <row r="8" spans="1:10" ht="42.6" customHeight="1" x14ac:dyDescent="0.3">
      <c r="A8" s="7" t="s">
        <v>3</v>
      </c>
      <c r="B8" s="120" t="s">
        <v>166</v>
      </c>
      <c r="C8" s="121"/>
      <c r="D8" s="122"/>
      <c r="E8" s="7" t="s">
        <v>4</v>
      </c>
      <c r="F8" s="7"/>
    </row>
    <row r="9" spans="1:10" ht="15.6" customHeight="1" x14ac:dyDescent="0.3">
      <c r="A9" s="7" t="s">
        <v>5</v>
      </c>
      <c r="B9" s="120" t="s">
        <v>175</v>
      </c>
      <c r="C9" s="121"/>
      <c r="D9" s="122"/>
      <c r="E9" s="7" t="s">
        <v>6</v>
      </c>
      <c r="F9" s="9"/>
    </row>
    <row r="10" spans="1:10" ht="34.799999999999997" customHeight="1" x14ac:dyDescent="0.3">
      <c r="A10" s="8" t="s">
        <v>7</v>
      </c>
      <c r="B10" s="120" t="s">
        <v>167</v>
      </c>
      <c r="C10" s="121"/>
      <c r="D10" s="122"/>
      <c r="E10" s="7" t="s">
        <v>8</v>
      </c>
      <c r="F10" s="9"/>
      <c r="J10" s="5"/>
    </row>
    <row r="11" spans="1:10" ht="61.8" customHeight="1" x14ac:dyDescent="0.3">
      <c r="A11" s="7" t="s">
        <v>9</v>
      </c>
      <c r="B11" s="120" t="s">
        <v>179</v>
      </c>
      <c r="C11" s="121"/>
      <c r="D11" s="122"/>
      <c r="E11" s="7" t="s">
        <v>10</v>
      </c>
      <c r="F11" s="3"/>
    </row>
    <row r="12" spans="1:10" ht="19.2" customHeight="1" x14ac:dyDescent="0.3">
      <c r="A12" s="7" t="s">
        <v>11</v>
      </c>
      <c r="B12" s="123"/>
      <c r="C12" s="124"/>
      <c r="D12" s="125"/>
      <c r="E12" s="6"/>
      <c r="F12" s="9"/>
    </row>
    <row r="13" spans="1:10" ht="18.600000000000001" customHeight="1" x14ac:dyDescent="0.3">
      <c r="A13" s="8" t="s">
        <v>12</v>
      </c>
      <c r="B13" s="120" t="s">
        <v>168</v>
      </c>
      <c r="C13" s="121"/>
      <c r="D13" s="122"/>
      <c r="E13" s="6"/>
      <c r="F13" s="9"/>
    </row>
    <row r="14" spans="1:10" x14ac:dyDescent="0.3">
      <c r="A14" s="10"/>
    </row>
    <row r="15" spans="1:10" x14ac:dyDescent="0.3">
      <c r="A15" s="105" t="s">
        <v>13</v>
      </c>
      <c r="B15" s="105"/>
      <c r="C15" s="105"/>
      <c r="D15" s="105"/>
      <c r="E15" s="105"/>
      <c r="F15" s="105"/>
    </row>
    <row r="16" spans="1:10" ht="36" customHeight="1" x14ac:dyDescent="0.3">
      <c r="A16" s="114" t="s">
        <v>169</v>
      </c>
      <c r="B16" s="114"/>
      <c r="C16" s="114"/>
      <c r="D16" s="114"/>
      <c r="E16" s="114"/>
      <c r="F16" s="114"/>
    </row>
    <row r="17" spans="1:8" x14ac:dyDescent="0.3">
      <c r="A17" s="105" t="s">
        <v>190</v>
      </c>
      <c r="B17" s="105"/>
      <c r="C17" s="105"/>
      <c r="D17" s="105"/>
      <c r="E17" s="105"/>
      <c r="F17" s="105"/>
    </row>
    <row r="18" spans="1:8" x14ac:dyDescent="0.3">
      <c r="A18" s="11"/>
      <c r="F18" s="11" t="s">
        <v>14</v>
      </c>
    </row>
    <row r="19" spans="1:8" x14ac:dyDescent="0.3">
      <c r="A19" s="105" t="s">
        <v>15</v>
      </c>
      <c r="B19" s="105"/>
      <c r="C19" s="105"/>
      <c r="D19" s="105"/>
      <c r="E19" s="105"/>
      <c r="F19" s="105"/>
    </row>
    <row r="21" spans="1:8" s="5" customFormat="1" ht="15" customHeight="1" x14ac:dyDescent="0.3">
      <c r="A21" s="109" t="s">
        <v>16</v>
      </c>
      <c r="B21" s="109" t="s">
        <v>95</v>
      </c>
      <c r="C21" s="111" t="s">
        <v>19</v>
      </c>
      <c r="D21" s="112"/>
      <c r="E21" s="112"/>
      <c r="F21" s="113"/>
    </row>
    <row r="22" spans="1:8" s="5" customFormat="1" ht="36" customHeight="1" x14ac:dyDescent="0.3">
      <c r="A22" s="110"/>
      <c r="B22" s="110"/>
      <c r="C22" s="4" t="s">
        <v>20</v>
      </c>
      <c r="D22" s="4" t="s">
        <v>21</v>
      </c>
      <c r="E22" s="4" t="s">
        <v>22</v>
      </c>
      <c r="F22" s="4" t="s">
        <v>23</v>
      </c>
    </row>
    <row r="23" spans="1:8" s="5" customFormat="1" x14ac:dyDescent="0.3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</row>
    <row r="24" spans="1:8" x14ac:dyDescent="0.3">
      <c r="A24" s="8" t="s">
        <v>24</v>
      </c>
      <c r="B24" s="4"/>
      <c r="C24" s="3"/>
      <c r="D24" s="3"/>
      <c r="E24" s="3"/>
      <c r="F24" s="3"/>
    </row>
    <row r="25" spans="1:8" ht="30.6" customHeight="1" x14ac:dyDescent="0.3">
      <c r="A25" s="8" t="s">
        <v>25</v>
      </c>
      <c r="B25" s="12">
        <v>100</v>
      </c>
      <c r="C25" s="61">
        <f>SUM(C26:C29)</f>
        <v>6556.5</v>
      </c>
      <c r="D25" s="61">
        <f>SUM(D26:D29)</f>
        <v>7857.1</v>
      </c>
      <c r="E25" s="62">
        <f>D25-C25</f>
        <v>1300.6000000000004</v>
      </c>
      <c r="F25" s="63">
        <f>D25/C25</f>
        <v>1.1983680317242431</v>
      </c>
    </row>
    <row r="26" spans="1:8" x14ac:dyDescent="0.3">
      <c r="A26" s="13" t="s">
        <v>26</v>
      </c>
      <c r="B26" s="4">
        <v>101</v>
      </c>
      <c r="C26" s="77">
        <f>C96+C38+500</f>
        <v>1429.5</v>
      </c>
      <c r="D26" s="47">
        <f>839.9+294.7</f>
        <v>1134.5999999999999</v>
      </c>
      <c r="E26" s="68">
        <f t="shared" ref="E26:E78" si="0">D26-C26</f>
        <v>-294.90000000000009</v>
      </c>
      <c r="F26" s="64">
        <f t="shared" ref="F26:F71" si="1">D26/C26</f>
        <v>0.79370409233997896</v>
      </c>
    </row>
    <row r="27" spans="1:8" x14ac:dyDescent="0.3">
      <c r="A27" s="13" t="s">
        <v>27</v>
      </c>
      <c r="B27" s="4">
        <v>102</v>
      </c>
      <c r="C27" s="77"/>
      <c r="D27" s="47"/>
      <c r="E27" s="68"/>
      <c r="F27" s="64"/>
    </row>
    <row r="28" spans="1:8" x14ac:dyDescent="0.3">
      <c r="A28" s="13" t="s">
        <v>28</v>
      </c>
      <c r="B28" s="4">
        <v>103</v>
      </c>
      <c r="C28" s="77">
        <v>5074</v>
      </c>
      <c r="D28" s="47">
        <v>3634.1</v>
      </c>
      <c r="E28" s="68">
        <f t="shared" si="0"/>
        <v>-1439.9</v>
      </c>
      <c r="F28" s="64">
        <f t="shared" si="1"/>
        <v>0.71621994481671258</v>
      </c>
    </row>
    <row r="29" spans="1:8" x14ac:dyDescent="0.3">
      <c r="A29" s="13" t="s">
        <v>29</v>
      </c>
      <c r="B29" s="4">
        <v>104</v>
      </c>
      <c r="C29" s="77">
        <v>53</v>
      </c>
      <c r="D29" s="47">
        <f>3088.4</f>
        <v>3088.4</v>
      </c>
      <c r="E29" s="68">
        <f>D29-C29</f>
        <v>3035.4</v>
      </c>
      <c r="F29" s="64">
        <f t="shared" si="1"/>
        <v>58.271698113207549</v>
      </c>
    </row>
    <row r="30" spans="1:8" ht="29.4" customHeight="1" x14ac:dyDescent="0.3">
      <c r="A30" s="8" t="s">
        <v>30</v>
      </c>
      <c r="B30" s="12">
        <v>200</v>
      </c>
      <c r="C30" s="61">
        <f>SUM(C31:C54)</f>
        <v>5180</v>
      </c>
      <c r="D30" s="61">
        <f>SUM(D31:D54)</f>
        <v>4808.7000000000007</v>
      </c>
      <c r="E30" s="62">
        <f t="shared" si="0"/>
        <v>-371.29999999999927</v>
      </c>
      <c r="F30" s="63">
        <f t="shared" si="1"/>
        <v>0.92832046332046347</v>
      </c>
    </row>
    <row r="31" spans="1:8" ht="22.2" customHeight="1" x14ac:dyDescent="0.3">
      <c r="A31" s="3" t="s">
        <v>31</v>
      </c>
      <c r="B31" s="4">
        <v>201</v>
      </c>
      <c r="C31" s="77"/>
      <c r="D31" s="47"/>
      <c r="E31" s="68"/>
      <c r="F31" s="64"/>
    </row>
    <row r="32" spans="1:8" ht="15" customHeight="1" x14ac:dyDescent="0.3">
      <c r="A32" s="3" t="s">
        <v>32</v>
      </c>
      <c r="B32" s="4">
        <v>202</v>
      </c>
      <c r="C32" s="77">
        <v>130</v>
      </c>
      <c r="D32" s="77">
        <f>48.8</f>
        <v>48.8</v>
      </c>
      <c r="E32" s="68">
        <f t="shared" si="0"/>
        <v>-81.2</v>
      </c>
      <c r="F32" s="64">
        <f t="shared" si="1"/>
        <v>0.37538461538461537</v>
      </c>
      <c r="H32" s="2">
        <v>202</v>
      </c>
    </row>
    <row r="33" spans="1:8" x14ac:dyDescent="0.3">
      <c r="A33" s="3" t="s">
        <v>33</v>
      </c>
      <c r="B33" s="4">
        <v>203</v>
      </c>
      <c r="C33" s="77">
        <v>100</v>
      </c>
      <c r="D33" s="77">
        <f>180.9+4.3</f>
        <v>185.20000000000002</v>
      </c>
      <c r="E33" s="68">
        <f t="shared" si="0"/>
        <v>85.200000000000017</v>
      </c>
      <c r="F33" s="64">
        <f t="shared" si="1"/>
        <v>1.8520000000000001</v>
      </c>
    </row>
    <row r="34" spans="1:8" x14ac:dyDescent="0.3">
      <c r="A34" s="3" t="s">
        <v>34</v>
      </c>
      <c r="B34" s="4">
        <v>204</v>
      </c>
      <c r="C34" s="77">
        <v>3200</v>
      </c>
      <c r="D34" s="77">
        <f>240+3561.7-D63</f>
        <v>2886.7</v>
      </c>
      <c r="E34" s="68">
        <f t="shared" si="0"/>
        <v>-313.30000000000018</v>
      </c>
      <c r="F34" s="64">
        <f t="shared" si="1"/>
        <v>0.90209374999999992</v>
      </c>
    </row>
    <row r="35" spans="1:8" x14ac:dyDescent="0.3">
      <c r="A35" s="3" t="s">
        <v>35</v>
      </c>
      <c r="B35" s="4">
        <v>205</v>
      </c>
      <c r="C35" s="77">
        <f>C34*22%</f>
        <v>704</v>
      </c>
      <c r="D35" s="77">
        <f>60+724.7-D64</f>
        <v>601.70000000000005</v>
      </c>
      <c r="E35" s="68">
        <f t="shared" si="0"/>
        <v>-102.29999999999995</v>
      </c>
      <c r="F35" s="64">
        <f t="shared" si="1"/>
        <v>0.85468750000000004</v>
      </c>
    </row>
    <row r="36" spans="1:8" ht="66" customHeight="1" x14ac:dyDescent="0.3">
      <c r="A36" s="3" t="s">
        <v>36</v>
      </c>
      <c r="B36" s="4">
        <v>206</v>
      </c>
      <c r="C36" s="77">
        <v>30</v>
      </c>
      <c r="D36" s="47">
        <f>41.8+2.8</f>
        <v>44.599999999999994</v>
      </c>
      <c r="E36" s="68">
        <f t="shared" si="0"/>
        <v>14.599999999999994</v>
      </c>
      <c r="F36" s="64">
        <f t="shared" si="1"/>
        <v>1.4866666666666666</v>
      </c>
    </row>
    <row r="37" spans="1:8" ht="33" customHeight="1" x14ac:dyDescent="0.3">
      <c r="A37" s="3" t="s">
        <v>37</v>
      </c>
      <c r="B37" s="4">
        <v>207</v>
      </c>
      <c r="C37" s="77"/>
      <c r="D37" s="47"/>
      <c r="E37" s="68"/>
      <c r="F37" s="64"/>
    </row>
    <row r="38" spans="1:8" ht="31.2" x14ac:dyDescent="0.3">
      <c r="A38" s="47" t="s">
        <v>188</v>
      </c>
      <c r="B38" s="4">
        <v>208</v>
      </c>
      <c r="C38" s="77">
        <v>400</v>
      </c>
      <c r="D38" s="47">
        <f>294.7</f>
        <v>294.7</v>
      </c>
      <c r="E38" s="68">
        <f t="shared" si="0"/>
        <v>-105.30000000000001</v>
      </c>
      <c r="F38" s="64">
        <f t="shared" si="1"/>
        <v>0.73675000000000002</v>
      </c>
    </row>
    <row r="39" spans="1:8" x14ac:dyDescent="0.3">
      <c r="A39" s="3" t="s">
        <v>39</v>
      </c>
      <c r="B39" s="4">
        <v>209</v>
      </c>
      <c r="C39" s="77">
        <v>350</v>
      </c>
      <c r="D39" s="47">
        <v>226.4</v>
      </c>
      <c r="E39" s="68">
        <f t="shared" si="0"/>
        <v>-123.6</v>
      </c>
      <c r="F39" s="64">
        <f t="shared" si="1"/>
        <v>0.64685714285714291</v>
      </c>
    </row>
    <row r="40" spans="1:8" x14ac:dyDescent="0.3">
      <c r="A40" s="3" t="s">
        <v>40</v>
      </c>
      <c r="B40" s="4">
        <v>210</v>
      </c>
      <c r="C40" s="77">
        <v>60</v>
      </c>
      <c r="D40" s="77">
        <v>51.1</v>
      </c>
      <c r="E40" s="68">
        <f t="shared" si="0"/>
        <v>-8.8999999999999986</v>
      </c>
      <c r="F40" s="64">
        <f t="shared" si="1"/>
        <v>0.85166666666666668</v>
      </c>
    </row>
    <row r="41" spans="1:8" x14ac:dyDescent="0.3">
      <c r="A41" s="3" t="s">
        <v>41</v>
      </c>
      <c r="B41" s="4">
        <v>211</v>
      </c>
      <c r="C41" s="77">
        <v>15</v>
      </c>
      <c r="D41" s="47">
        <v>8.6</v>
      </c>
      <c r="E41" s="68">
        <f t="shared" si="0"/>
        <v>-6.4</v>
      </c>
      <c r="F41" s="64">
        <f t="shared" si="1"/>
        <v>0.57333333333333336</v>
      </c>
    </row>
    <row r="42" spans="1:8" x14ac:dyDescent="0.3">
      <c r="A42" s="3" t="s">
        <v>42</v>
      </c>
      <c r="B42" s="4">
        <v>212</v>
      </c>
      <c r="C42" s="77">
        <v>1</v>
      </c>
      <c r="D42" s="47">
        <v>0</v>
      </c>
      <c r="E42" s="68">
        <f t="shared" si="0"/>
        <v>-1</v>
      </c>
      <c r="F42" s="64">
        <v>18.2</v>
      </c>
    </row>
    <row r="43" spans="1:8" ht="30" customHeight="1" x14ac:dyDescent="0.3">
      <c r="A43" s="3" t="s">
        <v>43</v>
      </c>
      <c r="B43" s="4">
        <v>213</v>
      </c>
      <c r="C43" s="77">
        <v>50</v>
      </c>
      <c r="D43" s="3">
        <f>400.8+15.4</f>
        <v>416.2</v>
      </c>
      <c r="E43" s="68">
        <f t="shared" si="0"/>
        <v>366.2</v>
      </c>
      <c r="F43" s="64">
        <f t="shared" si="1"/>
        <v>8.3239999999999998</v>
      </c>
      <c r="H43" s="29" t="s">
        <v>176</v>
      </c>
    </row>
    <row r="44" spans="1:8" ht="33.6" customHeight="1" x14ac:dyDescent="0.3">
      <c r="A44" s="3" t="s">
        <v>44</v>
      </c>
      <c r="B44" s="4">
        <v>214</v>
      </c>
      <c r="C44" s="77">
        <v>70</v>
      </c>
      <c r="D44" s="47">
        <f>37.1</f>
        <v>37.1</v>
      </c>
      <c r="E44" s="68">
        <f t="shared" si="0"/>
        <v>-32.9</v>
      </c>
      <c r="F44" s="64">
        <f t="shared" si="1"/>
        <v>0.53</v>
      </c>
    </row>
    <row r="45" spans="1:8" x14ac:dyDescent="0.3">
      <c r="A45" s="3" t="s">
        <v>45</v>
      </c>
      <c r="B45" s="4">
        <v>215</v>
      </c>
      <c r="C45" s="77"/>
      <c r="D45" s="47"/>
      <c r="E45" s="68"/>
      <c r="F45" s="64"/>
    </row>
    <row r="46" spans="1:8" x14ac:dyDescent="0.3">
      <c r="A46" s="3" t="s">
        <v>46</v>
      </c>
      <c r="B46" s="4">
        <v>216</v>
      </c>
      <c r="C46" s="77"/>
      <c r="D46" s="47"/>
      <c r="E46" s="68"/>
      <c r="F46" s="64"/>
    </row>
    <row r="47" spans="1:8" x14ac:dyDescent="0.3">
      <c r="A47" s="3" t="s">
        <v>47</v>
      </c>
      <c r="B47" s="4">
        <v>217</v>
      </c>
      <c r="C47" s="77">
        <v>1.5</v>
      </c>
      <c r="D47" s="47">
        <v>0</v>
      </c>
      <c r="E47" s="68">
        <f t="shared" si="0"/>
        <v>-1.5</v>
      </c>
      <c r="F47" s="64">
        <f t="shared" si="1"/>
        <v>0</v>
      </c>
    </row>
    <row r="48" spans="1:8" ht="46.8" customHeight="1" x14ac:dyDescent="0.3">
      <c r="A48" s="3" t="s">
        <v>48</v>
      </c>
      <c r="B48" s="4">
        <v>218</v>
      </c>
      <c r="C48" s="77">
        <v>0</v>
      </c>
      <c r="D48" s="77">
        <v>2</v>
      </c>
      <c r="E48" s="68">
        <f t="shared" ref="E48" si="2">D48-C48</f>
        <v>2</v>
      </c>
      <c r="F48" s="64"/>
    </row>
    <row r="49" spans="1:8" x14ac:dyDescent="0.3">
      <c r="A49" s="3" t="s">
        <v>49</v>
      </c>
      <c r="B49" s="4">
        <v>219</v>
      </c>
      <c r="C49" s="77">
        <v>15</v>
      </c>
      <c r="D49" s="47">
        <v>4.0999999999999996</v>
      </c>
      <c r="E49" s="68">
        <f t="shared" si="0"/>
        <v>-10.9</v>
      </c>
      <c r="F49" s="64">
        <f t="shared" si="1"/>
        <v>0.27333333333333332</v>
      </c>
    </row>
    <row r="50" spans="1:8" x14ac:dyDescent="0.3">
      <c r="A50" s="3" t="s">
        <v>50</v>
      </c>
      <c r="B50" s="4">
        <v>220</v>
      </c>
      <c r="C50" s="77">
        <v>40</v>
      </c>
      <c r="D50" s="47">
        <v>1.4</v>
      </c>
      <c r="E50" s="68">
        <f t="shared" si="0"/>
        <v>-38.6</v>
      </c>
      <c r="F50" s="64"/>
    </row>
    <row r="51" spans="1:8" x14ac:dyDescent="0.3">
      <c r="A51" s="3" t="s">
        <v>51</v>
      </c>
      <c r="B51" s="4">
        <v>221</v>
      </c>
      <c r="C51" s="77">
        <v>3.5</v>
      </c>
      <c r="D51" s="47">
        <v>0</v>
      </c>
      <c r="E51" s="68">
        <f t="shared" si="0"/>
        <v>-3.5</v>
      </c>
      <c r="F51" s="64">
        <f t="shared" si="1"/>
        <v>0</v>
      </c>
    </row>
    <row r="52" spans="1:8" ht="30.6" customHeight="1" x14ac:dyDescent="0.3">
      <c r="A52" s="3" t="s">
        <v>52</v>
      </c>
      <c r="B52" s="4">
        <v>222</v>
      </c>
      <c r="C52" s="77"/>
      <c r="D52" s="47"/>
      <c r="E52" s="68"/>
      <c r="F52" s="64"/>
    </row>
    <row r="53" spans="1:8" ht="30.6" customHeight="1" x14ac:dyDescent="0.3">
      <c r="A53" s="3" t="s">
        <v>53</v>
      </c>
      <c r="B53" s="4">
        <v>223</v>
      </c>
      <c r="C53" s="77"/>
      <c r="D53" s="47"/>
      <c r="E53" s="68"/>
      <c r="F53" s="64"/>
    </row>
    <row r="54" spans="1:8" ht="18.600000000000001" customHeight="1" x14ac:dyDescent="0.3">
      <c r="A54" s="3" t="s">
        <v>54</v>
      </c>
      <c r="B54" s="4">
        <v>224</v>
      </c>
      <c r="C54" s="77">
        <v>10</v>
      </c>
      <c r="D54" s="47">
        <v>0.1</v>
      </c>
      <c r="E54" s="68">
        <f t="shared" si="0"/>
        <v>-9.9</v>
      </c>
      <c r="F54" s="64">
        <f t="shared" si="1"/>
        <v>0.01</v>
      </c>
      <c r="H54" s="2" t="s">
        <v>181</v>
      </c>
    </row>
    <row r="55" spans="1:8" ht="15" customHeight="1" x14ac:dyDescent="0.3">
      <c r="A55" s="8" t="s">
        <v>55</v>
      </c>
      <c r="B55" s="12">
        <v>300</v>
      </c>
      <c r="C55" s="61">
        <f>SUM(C56:C77)</f>
        <v>1448</v>
      </c>
      <c r="D55" s="61">
        <f>SUM(D56:D75)</f>
        <v>1195</v>
      </c>
      <c r="E55" s="62">
        <f t="shared" si="0"/>
        <v>-253</v>
      </c>
      <c r="F55" s="63">
        <f t="shared" si="1"/>
        <v>0.82527624309392267</v>
      </c>
    </row>
    <row r="56" spans="1:8" ht="33" customHeight="1" x14ac:dyDescent="0.3">
      <c r="A56" s="3" t="s">
        <v>56</v>
      </c>
      <c r="B56" s="4">
        <v>301</v>
      </c>
      <c r="C56" s="77">
        <v>60</v>
      </c>
      <c r="D56" s="47">
        <f>31.2+4.2</f>
        <v>35.4</v>
      </c>
      <c r="E56" s="68">
        <f t="shared" si="0"/>
        <v>-24.6</v>
      </c>
      <c r="F56" s="64">
        <f t="shared" si="1"/>
        <v>0.59</v>
      </c>
    </row>
    <row r="57" spans="1:8" ht="15" customHeight="1" x14ac:dyDescent="0.3">
      <c r="A57" s="3" t="s">
        <v>57</v>
      </c>
      <c r="B57" s="4">
        <v>302</v>
      </c>
      <c r="C57" s="77"/>
      <c r="D57" s="47"/>
      <c r="E57" s="68"/>
      <c r="F57" s="64"/>
    </row>
    <row r="58" spans="1:8" x14ac:dyDescent="0.3">
      <c r="A58" s="3" t="s">
        <v>58</v>
      </c>
      <c r="B58" s="4">
        <v>303</v>
      </c>
      <c r="C58" s="77"/>
      <c r="D58" s="47"/>
      <c r="E58" s="68"/>
      <c r="F58" s="64"/>
    </row>
    <row r="59" spans="1:8" x14ac:dyDescent="0.3">
      <c r="A59" s="3" t="s">
        <v>59</v>
      </c>
      <c r="B59" s="4">
        <v>304</v>
      </c>
      <c r="C59" s="77"/>
      <c r="D59" s="47"/>
      <c r="E59" s="68"/>
      <c r="F59" s="64"/>
    </row>
    <row r="60" spans="1:8" x14ac:dyDescent="0.3">
      <c r="A60" s="3" t="s">
        <v>60</v>
      </c>
      <c r="B60" s="4">
        <v>305</v>
      </c>
      <c r="C60" s="77"/>
      <c r="D60" s="47"/>
      <c r="E60" s="68"/>
      <c r="F60" s="64"/>
    </row>
    <row r="61" spans="1:8" x14ac:dyDescent="0.3">
      <c r="A61" s="3" t="s">
        <v>61</v>
      </c>
      <c r="B61" s="4">
        <v>306</v>
      </c>
      <c r="C61" s="77"/>
      <c r="D61" s="47"/>
      <c r="E61" s="68"/>
      <c r="F61" s="64"/>
    </row>
    <row r="62" spans="1:8" x14ac:dyDescent="0.3">
      <c r="A62" s="3" t="s">
        <v>62</v>
      </c>
      <c r="B62" s="4">
        <v>307</v>
      </c>
      <c r="C62" s="77">
        <v>21</v>
      </c>
      <c r="D62" s="77">
        <v>12.3</v>
      </c>
      <c r="E62" s="68">
        <f t="shared" si="0"/>
        <v>-8.6999999999999993</v>
      </c>
      <c r="F62" s="64">
        <f t="shared" si="1"/>
        <v>0.58571428571428574</v>
      </c>
    </row>
    <row r="63" spans="1:8" x14ac:dyDescent="0.3">
      <c r="A63" s="3" t="s">
        <v>63</v>
      </c>
      <c r="B63" s="4">
        <v>308</v>
      </c>
      <c r="C63" s="77">
        <v>950</v>
      </c>
      <c r="D63" s="47">
        <v>915</v>
      </c>
      <c r="E63" s="68">
        <f t="shared" si="0"/>
        <v>-35</v>
      </c>
      <c r="F63" s="64">
        <f t="shared" si="1"/>
        <v>0.9631578947368421</v>
      </c>
    </row>
    <row r="64" spans="1:8" x14ac:dyDescent="0.3">
      <c r="A64" s="3" t="s">
        <v>64</v>
      </c>
      <c r="B64" s="4">
        <v>309</v>
      </c>
      <c r="C64" s="77">
        <f>C63*20%</f>
        <v>190</v>
      </c>
      <c r="D64" s="47">
        <v>183</v>
      </c>
      <c r="E64" s="68">
        <f t="shared" si="0"/>
        <v>-7</v>
      </c>
      <c r="F64" s="64">
        <f t="shared" si="1"/>
        <v>0.9631578947368421</v>
      </c>
    </row>
    <row r="65" spans="1:9" ht="46.8" customHeight="1" x14ac:dyDescent="0.3">
      <c r="A65" s="3" t="s">
        <v>65</v>
      </c>
      <c r="B65" s="4">
        <v>310</v>
      </c>
      <c r="C65" s="77"/>
      <c r="D65" s="47"/>
      <c r="E65" s="68"/>
      <c r="F65" s="64"/>
    </row>
    <row r="66" spans="1:9" ht="48.6" customHeight="1" x14ac:dyDescent="0.3">
      <c r="A66" s="3" t="s">
        <v>66</v>
      </c>
      <c r="B66" s="4">
        <v>311</v>
      </c>
      <c r="C66" s="77"/>
      <c r="D66" s="47"/>
      <c r="E66" s="68"/>
      <c r="F66" s="64"/>
    </row>
    <row r="67" spans="1:9" ht="31.2" x14ac:dyDescent="0.3">
      <c r="A67" s="3" t="s">
        <v>170</v>
      </c>
      <c r="B67" s="4">
        <v>312</v>
      </c>
      <c r="C67" s="77"/>
      <c r="D67" s="47"/>
      <c r="E67" s="68"/>
      <c r="F67" s="64"/>
    </row>
    <row r="68" spans="1:9" ht="34.200000000000003" customHeight="1" x14ac:dyDescent="0.3">
      <c r="A68" s="3" t="s">
        <v>67</v>
      </c>
      <c r="B68" s="4">
        <v>313</v>
      </c>
      <c r="C68" s="77"/>
      <c r="D68" s="47"/>
      <c r="E68" s="68"/>
      <c r="F68" s="64"/>
    </row>
    <row r="69" spans="1:9" x14ac:dyDescent="0.3">
      <c r="A69" s="3" t="s">
        <v>68</v>
      </c>
      <c r="B69" s="4">
        <v>314</v>
      </c>
      <c r="C69" s="77"/>
      <c r="D69" s="47"/>
      <c r="E69" s="68"/>
      <c r="F69" s="64"/>
    </row>
    <row r="70" spans="1:9" ht="15" customHeight="1" x14ac:dyDescent="0.3">
      <c r="A70" s="3" t="s">
        <v>69</v>
      </c>
      <c r="B70" s="4">
        <v>315</v>
      </c>
      <c r="C70" s="77"/>
      <c r="D70" s="47"/>
      <c r="E70" s="68"/>
      <c r="F70" s="64"/>
    </row>
    <row r="71" spans="1:9" x14ac:dyDescent="0.3">
      <c r="A71" s="3" t="s">
        <v>70</v>
      </c>
      <c r="B71" s="4">
        <v>316</v>
      </c>
      <c r="C71" s="77">
        <v>37</v>
      </c>
      <c r="D71" s="77">
        <v>0</v>
      </c>
      <c r="E71" s="68">
        <f t="shared" si="0"/>
        <v>-37</v>
      </c>
      <c r="F71" s="64">
        <f t="shared" si="1"/>
        <v>0</v>
      </c>
    </row>
    <row r="72" spans="1:9" x14ac:dyDescent="0.3">
      <c r="A72" s="3" t="s">
        <v>71</v>
      </c>
      <c r="B72" s="4">
        <v>317</v>
      </c>
      <c r="C72" s="77"/>
      <c r="D72" s="47"/>
      <c r="E72" s="68"/>
      <c r="F72" s="64"/>
    </row>
    <row r="73" spans="1:9" ht="33.6" customHeight="1" x14ac:dyDescent="0.3">
      <c r="A73" s="3" t="s">
        <v>72</v>
      </c>
      <c r="B73" s="4">
        <v>318</v>
      </c>
      <c r="C73" s="77">
        <v>20</v>
      </c>
      <c r="D73" s="47">
        <v>0</v>
      </c>
      <c r="E73" s="68">
        <f t="shared" si="0"/>
        <v>-20</v>
      </c>
      <c r="F73" s="64"/>
    </row>
    <row r="74" spans="1:9" ht="31.8" customHeight="1" x14ac:dyDescent="0.3">
      <c r="A74" s="3" t="s">
        <v>73</v>
      </c>
      <c r="B74" s="4">
        <v>319</v>
      </c>
      <c r="C74" s="77"/>
      <c r="D74" s="47"/>
      <c r="E74" s="68"/>
      <c r="F74" s="64"/>
    </row>
    <row r="75" spans="1:9" ht="62.4" customHeight="1" x14ac:dyDescent="0.3">
      <c r="A75" s="8" t="s">
        <v>74</v>
      </c>
      <c r="B75" s="12">
        <v>320</v>
      </c>
      <c r="C75" s="61">
        <f>SUM(C76:C77)</f>
        <v>85</v>
      </c>
      <c r="D75" s="61">
        <f>SUM(D76:D77)</f>
        <v>49.300000000000004</v>
      </c>
      <c r="E75" s="62">
        <f t="shared" si="0"/>
        <v>-35.699999999999996</v>
      </c>
      <c r="F75" s="64">
        <f t="shared" ref="F75:F77" si="3">D75/C75</f>
        <v>0.58000000000000007</v>
      </c>
    </row>
    <row r="76" spans="1:9" ht="15" customHeight="1" x14ac:dyDescent="0.3">
      <c r="A76" s="3" t="s">
        <v>75</v>
      </c>
      <c r="B76" s="4">
        <v>321</v>
      </c>
      <c r="C76" s="65"/>
      <c r="D76" s="48"/>
      <c r="E76" s="68"/>
      <c r="F76" s="64"/>
    </row>
    <row r="77" spans="1:9" ht="15" customHeight="1" x14ac:dyDescent="0.3">
      <c r="A77" s="3" t="s">
        <v>76</v>
      </c>
      <c r="B77" s="4">
        <v>322</v>
      </c>
      <c r="C77" s="65">
        <v>85</v>
      </c>
      <c r="D77" s="77">
        <f>46.6+2.7</f>
        <v>49.300000000000004</v>
      </c>
      <c r="E77" s="68">
        <f t="shared" ref="E77" si="4">D77-C77</f>
        <v>-35.699999999999996</v>
      </c>
      <c r="F77" s="64">
        <f t="shared" si="3"/>
        <v>0.58000000000000007</v>
      </c>
      <c r="H77" s="2" t="s">
        <v>174</v>
      </c>
      <c r="I77" s="2" t="s">
        <v>173</v>
      </c>
    </row>
    <row r="78" spans="1:9" x14ac:dyDescent="0.3">
      <c r="A78" s="8" t="s">
        <v>77</v>
      </c>
      <c r="B78" s="12">
        <v>400</v>
      </c>
      <c r="C78" s="61">
        <f>SUM(C79:C87)</f>
        <v>0</v>
      </c>
      <c r="D78" s="61">
        <f>SUM(D79:D87)</f>
        <v>0</v>
      </c>
      <c r="E78" s="62">
        <f t="shared" si="0"/>
        <v>0</v>
      </c>
      <c r="F78" s="63">
        <v>0</v>
      </c>
    </row>
    <row r="79" spans="1:9" x14ac:dyDescent="0.3">
      <c r="A79" s="3" t="s">
        <v>78</v>
      </c>
      <c r="B79" s="4">
        <v>401</v>
      </c>
      <c r="C79" s="48"/>
      <c r="D79" s="48"/>
      <c r="E79" s="68"/>
      <c r="F79" s="64"/>
    </row>
    <row r="80" spans="1:9" x14ac:dyDescent="0.3">
      <c r="A80" s="3" t="s">
        <v>79</v>
      </c>
      <c r="B80" s="4">
        <v>402</v>
      </c>
      <c r="C80" s="48"/>
      <c r="D80" s="48"/>
      <c r="E80" s="68"/>
      <c r="F80" s="64"/>
    </row>
    <row r="81" spans="1:8" x14ac:dyDescent="0.3">
      <c r="A81" s="3" t="s">
        <v>63</v>
      </c>
      <c r="B81" s="4">
        <v>403</v>
      </c>
      <c r="C81" s="48"/>
      <c r="D81" s="48"/>
      <c r="E81" s="68"/>
      <c r="F81" s="64"/>
    </row>
    <row r="82" spans="1:8" x14ac:dyDescent="0.3">
      <c r="A82" s="3" t="s">
        <v>64</v>
      </c>
      <c r="B82" s="4">
        <v>404</v>
      </c>
      <c r="C82" s="48"/>
      <c r="D82" s="48"/>
      <c r="E82" s="68"/>
      <c r="F82" s="64"/>
    </row>
    <row r="83" spans="1:8" ht="29.4" customHeight="1" x14ac:dyDescent="0.3">
      <c r="A83" s="3" t="s">
        <v>80</v>
      </c>
      <c r="B83" s="4">
        <v>405</v>
      </c>
      <c r="C83" s="48"/>
      <c r="D83" s="48"/>
      <c r="E83" s="68"/>
      <c r="F83" s="64"/>
    </row>
    <row r="84" spans="1:8" x14ac:dyDescent="0.3">
      <c r="A84" s="3" t="s">
        <v>81</v>
      </c>
      <c r="B84" s="4">
        <v>406</v>
      </c>
      <c r="C84" s="48"/>
      <c r="D84" s="48"/>
      <c r="E84" s="68"/>
      <c r="F84" s="64"/>
    </row>
    <row r="85" spans="1:8" x14ac:dyDescent="0.3">
      <c r="A85" s="3" t="s">
        <v>82</v>
      </c>
      <c r="B85" s="4">
        <v>407</v>
      </c>
      <c r="C85" s="48"/>
      <c r="D85" s="48"/>
      <c r="E85" s="68"/>
      <c r="F85" s="64"/>
    </row>
    <row r="86" spans="1:8" ht="15" customHeight="1" x14ac:dyDescent="0.3">
      <c r="A86" s="3" t="s">
        <v>83</v>
      </c>
      <c r="B86" s="4">
        <v>408</v>
      </c>
      <c r="C86" s="48"/>
      <c r="D86" s="48"/>
      <c r="E86" s="68"/>
      <c r="F86" s="64"/>
    </row>
    <row r="87" spans="1:8" ht="15" customHeight="1" x14ac:dyDescent="0.3">
      <c r="A87" s="3" t="s">
        <v>84</v>
      </c>
      <c r="B87" s="4">
        <v>409</v>
      </c>
      <c r="C87" s="48"/>
      <c r="D87" s="48"/>
      <c r="E87" s="68"/>
      <c r="F87" s="64"/>
    </row>
    <row r="88" spans="1:8" ht="31.2" x14ac:dyDescent="0.3">
      <c r="A88" s="3" t="s">
        <v>182</v>
      </c>
      <c r="B88" s="4">
        <v>500</v>
      </c>
      <c r="C88" s="48"/>
      <c r="D88" s="48"/>
      <c r="E88" s="68"/>
      <c r="F88" s="64"/>
    </row>
    <row r="89" spans="1:8" x14ac:dyDescent="0.3">
      <c r="A89" s="3" t="s">
        <v>184</v>
      </c>
      <c r="B89" s="4">
        <v>600</v>
      </c>
      <c r="C89" s="48">
        <v>0</v>
      </c>
      <c r="D89" s="102">
        <v>2141.9</v>
      </c>
      <c r="E89" s="68">
        <f t="shared" ref="E89" si="5">D89-C89</f>
        <v>2141.9</v>
      </c>
      <c r="F89" s="64"/>
      <c r="H89" s="2" t="s">
        <v>177</v>
      </c>
    </row>
    <row r="90" spans="1:8" x14ac:dyDescent="0.3">
      <c r="A90" s="8" t="s">
        <v>85</v>
      </c>
      <c r="B90" s="12">
        <v>700</v>
      </c>
      <c r="C90" s="61">
        <f>SUM(C25)</f>
        <v>6556.5</v>
      </c>
      <c r="D90" s="61">
        <f>SUM(D25,D88)</f>
        <v>7857.1</v>
      </c>
      <c r="E90" s="62">
        <f t="shared" ref="E90:E101" si="6">D90-C90</f>
        <v>1300.6000000000004</v>
      </c>
      <c r="F90" s="63">
        <f t="shared" ref="F90:F101" si="7">D90/C90</f>
        <v>1.1983680317242431</v>
      </c>
    </row>
    <row r="91" spans="1:8" x14ac:dyDescent="0.3">
      <c r="A91" s="8" t="s">
        <v>86</v>
      </c>
      <c r="B91" s="12">
        <v>800</v>
      </c>
      <c r="C91" s="61">
        <f>SUM(C97:C100,C94)</f>
        <v>6543</v>
      </c>
      <c r="D91" s="61">
        <f>SUM(D97:D100,D94)</f>
        <v>8145.6</v>
      </c>
      <c r="E91" s="62">
        <f t="shared" si="6"/>
        <v>1602.6000000000004</v>
      </c>
      <c r="F91" s="63">
        <f t="shared" si="7"/>
        <v>1.2449335167354425</v>
      </c>
    </row>
    <row r="92" spans="1:8" x14ac:dyDescent="0.3">
      <c r="A92" s="8" t="s">
        <v>87</v>
      </c>
      <c r="B92" s="12">
        <v>900</v>
      </c>
      <c r="C92" s="61">
        <f>C90-C91</f>
        <v>13.5</v>
      </c>
      <c r="D92" s="103">
        <f>D90-D91</f>
        <v>-288.5</v>
      </c>
      <c r="E92" s="62">
        <f>D92+C92</f>
        <v>-275</v>
      </c>
      <c r="F92" s="63">
        <f>D92/C92</f>
        <v>-21.37037037037037</v>
      </c>
    </row>
    <row r="93" spans="1:8" x14ac:dyDescent="0.3">
      <c r="A93" s="8" t="s">
        <v>88</v>
      </c>
      <c r="B93" s="12"/>
      <c r="C93" s="61"/>
      <c r="D93" s="61"/>
      <c r="E93" s="68"/>
      <c r="F93" s="64"/>
    </row>
    <row r="94" spans="1:8" ht="31.2" x14ac:dyDescent="0.3">
      <c r="A94" s="3" t="s">
        <v>185</v>
      </c>
      <c r="B94" s="4">
        <v>1000</v>
      </c>
      <c r="C94" s="48">
        <f>C36+C32+C44+C43+C56+C96</f>
        <v>869.5</v>
      </c>
      <c r="D94" s="48">
        <f>D36+D32+D44+D43+D56+D96</f>
        <v>1053.4000000000001</v>
      </c>
      <c r="E94" s="68">
        <f t="shared" si="6"/>
        <v>183.90000000000009</v>
      </c>
      <c r="F94" s="64">
        <f t="shared" si="7"/>
        <v>1.2115008625646924</v>
      </c>
    </row>
    <row r="95" spans="1:8" ht="18" customHeight="1" x14ac:dyDescent="0.3">
      <c r="A95" s="3" t="s">
        <v>89</v>
      </c>
      <c r="B95" s="4">
        <v>1001</v>
      </c>
      <c r="C95" s="48"/>
      <c r="D95" s="48"/>
      <c r="E95" s="68"/>
      <c r="F95" s="64"/>
    </row>
    <row r="96" spans="1:8" ht="31.2" x14ac:dyDescent="0.3">
      <c r="A96" s="3" t="s">
        <v>186</v>
      </c>
      <c r="B96" s="4">
        <v>1002</v>
      </c>
      <c r="C96" s="48">
        <f>C33+C39+C40+C41+C42+C51</f>
        <v>529.5</v>
      </c>
      <c r="D96" s="48">
        <f>D33+D39+D40+D41+D42+D51</f>
        <v>471.30000000000007</v>
      </c>
      <c r="E96" s="68">
        <f>D96-C96</f>
        <v>-58.199999999999932</v>
      </c>
      <c r="F96" s="64">
        <f t="shared" si="7"/>
        <v>0.89008498583569418</v>
      </c>
    </row>
    <row r="97" spans="1:8" x14ac:dyDescent="0.3">
      <c r="A97" s="3" t="s">
        <v>34</v>
      </c>
      <c r="B97" s="4">
        <v>1100</v>
      </c>
      <c r="C97" s="48">
        <f>C34+C63</f>
        <v>4150</v>
      </c>
      <c r="D97" s="48">
        <f>D34+D63</f>
        <v>3801.7</v>
      </c>
      <c r="E97" s="68">
        <f t="shared" si="6"/>
        <v>-348.30000000000018</v>
      </c>
      <c r="F97" s="64">
        <f t="shared" si="7"/>
        <v>0.91607228915662642</v>
      </c>
    </row>
    <row r="98" spans="1:8" x14ac:dyDescent="0.3">
      <c r="A98" s="3" t="s">
        <v>35</v>
      </c>
      <c r="B98" s="4">
        <v>1200</v>
      </c>
      <c r="C98" s="48">
        <f>C35+C64</f>
        <v>894</v>
      </c>
      <c r="D98" s="48">
        <f>D35+D64</f>
        <v>784.7</v>
      </c>
      <c r="E98" s="68">
        <f t="shared" si="6"/>
        <v>-109.29999999999995</v>
      </c>
      <c r="F98" s="64">
        <f t="shared" si="7"/>
        <v>0.87774049217002237</v>
      </c>
    </row>
    <row r="99" spans="1:8" x14ac:dyDescent="0.3">
      <c r="A99" s="3" t="s">
        <v>90</v>
      </c>
      <c r="B99" s="4">
        <v>1300</v>
      </c>
      <c r="C99" s="48"/>
      <c r="D99" s="48"/>
      <c r="E99" s="68"/>
      <c r="F99" s="64"/>
    </row>
    <row r="100" spans="1:8" ht="46.8" customHeight="1" x14ac:dyDescent="0.3">
      <c r="A100" s="3" t="s">
        <v>187</v>
      </c>
      <c r="B100" s="4">
        <v>1400</v>
      </c>
      <c r="C100" s="48">
        <f>SUM(C37:C38,C45:C50,C52:C54,C57:C62,C65:C75,C78,C89)</f>
        <v>629.5</v>
      </c>
      <c r="D100" s="48">
        <f>SUM(D37:D38,D45:D50,D52:D54,D57:D62,D65:D75,D78,D89)</f>
        <v>2505.8000000000002</v>
      </c>
      <c r="E100" s="68">
        <f t="shared" si="6"/>
        <v>1876.3000000000002</v>
      </c>
      <c r="F100" s="64">
        <f t="shared" si="7"/>
        <v>3.9806195393169186</v>
      </c>
    </row>
    <row r="101" spans="1:8" x14ac:dyDescent="0.3">
      <c r="A101" s="8" t="s">
        <v>91</v>
      </c>
      <c r="B101" s="12">
        <v>1500</v>
      </c>
      <c r="C101" s="61">
        <f>SUM(C97:C100,C94)</f>
        <v>6543</v>
      </c>
      <c r="D101" s="61">
        <f>SUM(D97:D100,D94)</f>
        <v>8145.6</v>
      </c>
      <c r="E101" s="62">
        <f t="shared" si="6"/>
        <v>1602.6000000000004</v>
      </c>
      <c r="F101" s="63">
        <f t="shared" si="7"/>
        <v>1.2449335167354425</v>
      </c>
    </row>
    <row r="102" spans="1:8" x14ac:dyDescent="0.3">
      <c r="A102" s="15"/>
      <c r="B102" s="14"/>
      <c r="C102" s="14"/>
      <c r="D102" s="14"/>
      <c r="E102" s="14"/>
      <c r="F102" s="1"/>
      <c r="G102" s="1"/>
      <c r="H102" s="1"/>
    </row>
    <row r="103" spans="1:8" ht="16.2" customHeight="1" thickBot="1" x14ac:dyDescent="0.35">
      <c r="A103" s="16" t="s">
        <v>178</v>
      </c>
      <c r="B103" s="17"/>
      <c r="C103" s="17"/>
      <c r="D103" s="17"/>
      <c r="E103" s="107" t="s">
        <v>168</v>
      </c>
      <c r="F103" s="107"/>
      <c r="G103" s="14"/>
      <c r="H103" s="14"/>
    </row>
    <row r="104" spans="1:8" ht="15.6" customHeight="1" x14ac:dyDescent="0.3">
      <c r="A104" s="18" t="s">
        <v>92</v>
      </c>
      <c r="B104" s="30" t="s">
        <v>93</v>
      </c>
      <c r="C104" s="108"/>
      <c r="D104" s="108"/>
      <c r="E104" s="106" t="s">
        <v>94</v>
      </c>
      <c r="F104" s="106"/>
      <c r="G104" s="14"/>
      <c r="H104" s="14"/>
    </row>
  </sheetData>
  <mergeCells count="22"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  <mergeCell ref="A19:F19"/>
    <mergeCell ref="E104:F104"/>
    <mergeCell ref="E103:F103"/>
    <mergeCell ref="C104:D104"/>
    <mergeCell ref="A21:A22"/>
    <mergeCell ref="B21:B22"/>
    <mergeCell ref="C21:F21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7" zoomScaleNormal="100" zoomScaleSheetLayoutView="100" workbookViewId="0">
      <selection activeCell="D14" sqref="D14"/>
    </sheetView>
  </sheetViews>
  <sheetFormatPr defaultRowHeight="15.6" x14ac:dyDescent="0.3"/>
  <cols>
    <col min="1" max="1" width="42.33203125" style="43" customWidth="1"/>
    <col min="2" max="2" width="8.88671875" style="43"/>
    <col min="3" max="3" width="12" style="50" customWidth="1"/>
    <col min="4" max="4" width="10.33203125" style="43" customWidth="1"/>
    <col min="5" max="5" width="11.88671875" style="50" customWidth="1"/>
    <col min="6" max="6" width="11.44140625" style="50" customWidth="1"/>
    <col min="7" max="16384" width="8.88671875" style="50"/>
  </cols>
  <sheetData>
    <row r="1" spans="1:7" s="43" customFormat="1" x14ac:dyDescent="0.3">
      <c r="D1" s="73"/>
      <c r="F1" s="73" t="s">
        <v>96</v>
      </c>
    </row>
    <row r="2" spans="1:7" s="43" customFormat="1" x14ac:dyDescent="0.3">
      <c r="A2" s="126" t="s">
        <v>97</v>
      </c>
      <c r="B2" s="126"/>
      <c r="C2" s="126"/>
      <c r="D2" s="126"/>
      <c r="E2" s="126"/>
      <c r="F2" s="126"/>
    </row>
    <row r="3" spans="1:7" s="43" customFormat="1" ht="8.4" customHeight="1" x14ac:dyDescent="0.3"/>
    <row r="4" spans="1:7" s="43" customFormat="1" ht="15" customHeight="1" x14ac:dyDescent="0.3">
      <c r="A4" s="128" t="s">
        <v>16</v>
      </c>
      <c r="B4" s="128" t="s">
        <v>95</v>
      </c>
      <c r="C4" s="128" t="s">
        <v>19</v>
      </c>
      <c r="D4" s="128"/>
      <c r="E4" s="128"/>
      <c r="F4" s="128"/>
      <c r="G4" s="44"/>
    </row>
    <row r="5" spans="1:7" s="43" customFormat="1" ht="37.200000000000003" customHeight="1" x14ac:dyDescent="0.3">
      <c r="A5" s="128"/>
      <c r="B5" s="128"/>
      <c r="C5" s="69" t="s">
        <v>20</v>
      </c>
      <c r="D5" s="95" t="s">
        <v>21</v>
      </c>
      <c r="E5" s="69" t="s">
        <v>22</v>
      </c>
      <c r="F5" s="69" t="s">
        <v>23</v>
      </c>
      <c r="G5" s="45"/>
    </row>
    <row r="6" spans="1:7" s="43" customFormat="1" x14ac:dyDescent="0.3">
      <c r="A6" s="69">
        <v>1</v>
      </c>
      <c r="B6" s="69">
        <v>2</v>
      </c>
      <c r="C6" s="69">
        <v>3</v>
      </c>
      <c r="D6" s="95">
        <v>4</v>
      </c>
      <c r="E6" s="69">
        <v>5</v>
      </c>
      <c r="F6" s="69">
        <v>6</v>
      </c>
      <c r="G6" s="45"/>
    </row>
    <row r="7" spans="1:7" ht="17.399999999999999" customHeight="1" x14ac:dyDescent="0.3">
      <c r="A7" s="46" t="s">
        <v>98</v>
      </c>
      <c r="B7" s="46"/>
      <c r="C7" s="70"/>
      <c r="D7" s="47"/>
      <c r="E7" s="70"/>
      <c r="F7" s="70"/>
      <c r="G7" s="51"/>
    </row>
    <row r="8" spans="1:7" ht="47.4" customHeight="1" x14ac:dyDescent="0.3">
      <c r="A8" s="47" t="s">
        <v>99</v>
      </c>
      <c r="B8" s="47">
        <v>2000</v>
      </c>
      <c r="C8" s="77">
        <v>46.9</v>
      </c>
      <c r="D8" s="77">
        <v>576.9</v>
      </c>
      <c r="E8" s="65">
        <f>D8-C8</f>
        <v>530</v>
      </c>
      <c r="F8" s="78"/>
      <c r="G8" s="51"/>
    </row>
    <row r="9" spans="1:7" ht="34.200000000000003" customHeight="1" x14ac:dyDescent="0.3">
      <c r="A9" s="47" t="s">
        <v>100</v>
      </c>
      <c r="B9" s="47">
        <v>2001</v>
      </c>
      <c r="C9" s="77"/>
      <c r="D9" s="77"/>
      <c r="E9" s="65"/>
      <c r="F9" s="78"/>
      <c r="G9" s="51"/>
    </row>
    <row r="10" spans="1:7" ht="18.600000000000001" customHeight="1" x14ac:dyDescent="0.3">
      <c r="A10" s="47" t="s">
        <v>101</v>
      </c>
      <c r="B10" s="47">
        <v>2002</v>
      </c>
      <c r="C10" s="77"/>
      <c r="D10" s="77"/>
      <c r="E10" s="65"/>
      <c r="F10" s="78"/>
      <c r="G10" s="51"/>
    </row>
    <row r="11" spans="1:7" ht="32.4" customHeight="1" x14ac:dyDescent="0.3">
      <c r="A11" s="47" t="s">
        <v>102</v>
      </c>
      <c r="B11" s="47">
        <v>2003</v>
      </c>
      <c r="C11" s="77"/>
      <c r="D11" s="77"/>
      <c r="E11" s="65"/>
      <c r="F11" s="78"/>
      <c r="G11" s="51"/>
    </row>
    <row r="12" spans="1:7" ht="20.399999999999999" customHeight="1" x14ac:dyDescent="0.3">
      <c r="A12" s="47" t="s">
        <v>103</v>
      </c>
      <c r="B12" s="47">
        <v>2004</v>
      </c>
      <c r="C12" s="77"/>
      <c r="D12" s="77"/>
      <c r="E12" s="65"/>
      <c r="F12" s="78"/>
      <c r="G12" s="51"/>
    </row>
    <row r="13" spans="1:7" ht="37.200000000000003" customHeight="1" x14ac:dyDescent="0.3">
      <c r="A13" s="47" t="s">
        <v>192</v>
      </c>
      <c r="B13" s="47">
        <v>2005</v>
      </c>
      <c r="C13" s="77"/>
      <c r="D13" s="77">
        <f>D8-D14</f>
        <v>288.5</v>
      </c>
      <c r="E13" s="65"/>
      <c r="F13" s="78"/>
      <c r="G13" s="51"/>
    </row>
    <row r="14" spans="1:7" ht="34.200000000000003" customHeight="1" x14ac:dyDescent="0.3">
      <c r="A14" s="47" t="s">
        <v>189</v>
      </c>
      <c r="B14" s="47">
        <v>2006</v>
      </c>
      <c r="C14" s="77">
        <f>'Таблиця 1'!C92+C8</f>
        <v>60.4</v>
      </c>
      <c r="D14" s="77">
        <f>'Таблиця 1'!D92+D8</f>
        <v>288.39999999999998</v>
      </c>
      <c r="E14" s="65">
        <f t="shared" ref="E14" si="0">D14-C14</f>
        <v>227.99999999999997</v>
      </c>
      <c r="F14" s="78"/>
      <c r="G14" s="51"/>
    </row>
    <row r="15" spans="1:7" s="43" customFormat="1" ht="47.4" customHeight="1" x14ac:dyDescent="0.3">
      <c r="A15" s="46" t="s">
        <v>104</v>
      </c>
      <c r="B15" s="46">
        <v>2100</v>
      </c>
      <c r="C15" s="74">
        <f>SUM(C16:C20)</f>
        <v>747</v>
      </c>
      <c r="D15" s="74">
        <f>SUM(D16:D20)</f>
        <v>684.9</v>
      </c>
      <c r="E15" s="75">
        <f t="shared" ref="E15:E25" si="1">D15-C15</f>
        <v>-62.100000000000023</v>
      </c>
      <c r="F15" s="76">
        <f>D15/C15</f>
        <v>0.91686746987951806</v>
      </c>
      <c r="G15" s="44"/>
    </row>
    <row r="16" spans="1:7" s="43" customFormat="1" ht="18.600000000000001" customHeight="1" x14ac:dyDescent="0.3">
      <c r="A16" s="47" t="s">
        <v>105</v>
      </c>
      <c r="B16" s="47">
        <v>2101</v>
      </c>
      <c r="C16" s="77">
        <f>'Таблиця 1'!C97*18%</f>
        <v>747</v>
      </c>
      <c r="D16" s="77">
        <v>684.9</v>
      </c>
      <c r="E16" s="65">
        <f t="shared" si="1"/>
        <v>-62.100000000000023</v>
      </c>
      <c r="F16" s="78">
        <f>D16/C16</f>
        <v>0.91686746987951806</v>
      </c>
      <c r="G16" s="44"/>
    </row>
    <row r="17" spans="1:7" ht="17.399999999999999" customHeight="1" x14ac:dyDescent="0.3">
      <c r="A17" s="47" t="s">
        <v>106</v>
      </c>
      <c r="B17" s="47">
        <v>2102</v>
      </c>
      <c r="C17" s="66"/>
      <c r="D17" s="77"/>
      <c r="E17" s="67"/>
      <c r="F17" s="52"/>
      <c r="G17" s="51"/>
    </row>
    <row r="18" spans="1:7" ht="15" customHeight="1" x14ac:dyDescent="0.3">
      <c r="A18" s="47" t="s">
        <v>107</v>
      </c>
      <c r="B18" s="47">
        <v>2103</v>
      </c>
      <c r="C18" s="66"/>
      <c r="D18" s="77"/>
      <c r="E18" s="67"/>
      <c r="F18" s="52"/>
      <c r="G18" s="51"/>
    </row>
    <row r="19" spans="1:7" ht="15" customHeight="1" x14ac:dyDescent="0.3">
      <c r="A19" s="47" t="s">
        <v>108</v>
      </c>
      <c r="B19" s="47">
        <v>2104</v>
      </c>
      <c r="C19" s="66"/>
      <c r="D19" s="77"/>
      <c r="E19" s="67"/>
      <c r="F19" s="52"/>
      <c r="G19" s="51"/>
    </row>
    <row r="20" spans="1:7" ht="20.399999999999999" customHeight="1" x14ac:dyDescent="0.3">
      <c r="A20" s="47" t="s">
        <v>109</v>
      </c>
      <c r="B20" s="47">
        <v>2105</v>
      </c>
      <c r="C20" s="66"/>
      <c r="D20" s="77"/>
      <c r="E20" s="67"/>
      <c r="F20" s="52"/>
      <c r="G20" s="51"/>
    </row>
    <row r="21" spans="1:7" s="43" customFormat="1" ht="35.4" customHeight="1" x14ac:dyDescent="0.3">
      <c r="A21" s="46" t="s">
        <v>110</v>
      </c>
      <c r="B21" s="46">
        <v>2200</v>
      </c>
      <c r="C21" s="74">
        <f>SUM(C22:C25)</f>
        <v>956.25</v>
      </c>
      <c r="D21" s="74">
        <f>SUM(D22:D25)</f>
        <v>983.2</v>
      </c>
      <c r="E21" s="75">
        <f t="shared" si="1"/>
        <v>26.950000000000045</v>
      </c>
      <c r="F21" s="76">
        <f>D21/C21</f>
        <v>1.0281830065359479</v>
      </c>
      <c r="G21" s="44"/>
    </row>
    <row r="22" spans="1:7" s="43" customFormat="1" ht="20.399999999999999" customHeight="1" x14ac:dyDescent="0.3">
      <c r="A22" s="47" t="s">
        <v>111</v>
      </c>
      <c r="B22" s="47">
        <v>2201</v>
      </c>
      <c r="C22" s="77"/>
      <c r="D22" s="77"/>
      <c r="E22" s="65"/>
      <c r="F22" s="78"/>
      <c r="G22" s="44"/>
    </row>
    <row r="23" spans="1:7" s="43" customFormat="1" ht="34.799999999999997" customHeight="1" x14ac:dyDescent="0.3">
      <c r="A23" s="47" t="s">
        <v>112</v>
      </c>
      <c r="B23" s="47">
        <v>2202</v>
      </c>
      <c r="C23" s="77">
        <f>'Таблиця 1'!C98</f>
        <v>894</v>
      </c>
      <c r="D23" s="77">
        <f>'Таблиця 1'!D98</f>
        <v>784.7</v>
      </c>
      <c r="E23" s="65">
        <f t="shared" si="1"/>
        <v>-109.29999999999995</v>
      </c>
      <c r="F23" s="78">
        <f>D23/C23</f>
        <v>0.87774049217002237</v>
      </c>
      <c r="G23" s="44"/>
    </row>
    <row r="24" spans="1:7" s="43" customFormat="1" ht="33.6" customHeight="1" x14ac:dyDescent="0.3">
      <c r="A24" s="47" t="s">
        <v>113</v>
      </c>
      <c r="B24" s="47">
        <v>2203</v>
      </c>
      <c r="C24" s="77"/>
      <c r="D24" s="77"/>
      <c r="E24" s="65"/>
      <c r="F24" s="78"/>
      <c r="G24" s="44"/>
    </row>
    <row r="25" spans="1:7" s="43" customFormat="1" ht="24" customHeight="1" x14ac:dyDescent="0.3">
      <c r="A25" s="47" t="s">
        <v>191</v>
      </c>
      <c r="B25" s="47">
        <v>2204</v>
      </c>
      <c r="C25" s="77">
        <f>'Таблиця 1'!C97*1.5%</f>
        <v>62.25</v>
      </c>
      <c r="D25" s="77">
        <v>198.5</v>
      </c>
      <c r="E25" s="65">
        <f t="shared" si="1"/>
        <v>136.25</v>
      </c>
      <c r="F25" s="78">
        <f>D25/C25</f>
        <v>3.1887550200803214</v>
      </c>
      <c r="G25" s="44"/>
    </row>
    <row r="26" spans="1:7" s="43" customFormat="1" ht="31.8" customHeight="1" x14ac:dyDescent="0.3">
      <c r="A26" s="46" t="s">
        <v>114</v>
      </c>
      <c r="B26" s="46">
        <v>2300</v>
      </c>
      <c r="C26" s="77"/>
      <c r="D26" s="77"/>
      <c r="E26" s="65"/>
      <c r="F26" s="78"/>
      <c r="G26" s="44"/>
    </row>
    <row r="27" spans="1:7" s="43" customFormat="1" ht="65.400000000000006" customHeight="1" x14ac:dyDescent="0.3">
      <c r="A27" s="47" t="s">
        <v>115</v>
      </c>
      <c r="B27" s="47">
        <v>2301</v>
      </c>
      <c r="C27" s="77"/>
      <c r="D27" s="77"/>
      <c r="E27" s="65"/>
      <c r="F27" s="78"/>
      <c r="G27" s="44"/>
    </row>
    <row r="28" spans="1:7" s="43" customFormat="1" ht="32.4" customHeight="1" x14ac:dyDescent="0.3">
      <c r="A28" s="47" t="s">
        <v>116</v>
      </c>
      <c r="B28" s="47">
        <v>2302</v>
      </c>
      <c r="C28" s="77"/>
      <c r="D28" s="77"/>
      <c r="E28" s="65"/>
      <c r="F28" s="78"/>
      <c r="G28" s="44"/>
    </row>
    <row r="29" spans="1:7" s="43" customFormat="1" ht="12.6" customHeight="1" x14ac:dyDescent="0.3">
      <c r="A29" s="45"/>
      <c r="B29" s="45"/>
      <c r="C29" s="45"/>
      <c r="D29" s="45"/>
      <c r="E29" s="79"/>
      <c r="F29" s="79"/>
      <c r="G29" s="44"/>
    </row>
    <row r="30" spans="1:7" s="43" customFormat="1" ht="16.2" thickBot="1" x14ac:dyDescent="0.35">
      <c r="A30" s="16" t="s">
        <v>178</v>
      </c>
      <c r="B30" s="40"/>
      <c r="C30" s="40"/>
      <c r="D30" s="40"/>
      <c r="E30" s="129" t="s">
        <v>168</v>
      </c>
      <c r="F30" s="129"/>
    </row>
    <row r="31" spans="1:7" s="43" customFormat="1" ht="14.4" customHeight="1" x14ac:dyDescent="0.3">
      <c r="A31" s="41" t="s">
        <v>92</v>
      </c>
      <c r="B31" s="49" t="s">
        <v>93</v>
      </c>
      <c r="C31" s="49"/>
      <c r="D31" s="94"/>
      <c r="E31" s="127" t="s">
        <v>94</v>
      </c>
      <c r="F31" s="127"/>
    </row>
    <row r="32" spans="1:7" s="43" customFormat="1" x14ac:dyDescent="0.3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view="pageBreakPreview" zoomScaleNormal="100" zoomScaleSheetLayoutView="100" workbookViewId="0">
      <selection activeCell="D27" sqref="D27"/>
    </sheetView>
  </sheetViews>
  <sheetFormatPr defaultRowHeight="15.6" x14ac:dyDescent="0.3"/>
  <cols>
    <col min="1" max="1" width="38.6640625" style="50" customWidth="1"/>
    <col min="2" max="2" width="8.88671875" style="50"/>
    <col min="3" max="3" width="11.6640625" style="50" customWidth="1"/>
    <col min="4" max="4" width="10.88671875" style="43" customWidth="1"/>
    <col min="5" max="5" width="13.77734375" style="50" customWidth="1"/>
    <col min="6" max="6" width="12" style="50" customWidth="1"/>
    <col min="7" max="16384" width="8.88671875" style="50"/>
  </cols>
  <sheetData>
    <row r="1" spans="1:6" s="43" customFormat="1" x14ac:dyDescent="0.3">
      <c r="A1" s="73"/>
      <c r="F1" s="73" t="s">
        <v>117</v>
      </c>
    </row>
    <row r="2" spans="1:6" s="43" customFormat="1" x14ac:dyDescent="0.3">
      <c r="A2" s="126" t="s">
        <v>118</v>
      </c>
      <c r="B2" s="126"/>
      <c r="C2" s="126"/>
      <c r="D2" s="126"/>
      <c r="E2" s="126"/>
      <c r="F2" s="126"/>
    </row>
    <row r="3" spans="1:6" s="43" customFormat="1" x14ac:dyDescent="0.3"/>
    <row r="4" spans="1:6" s="43" customFormat="1" x14ac:dyDescent="0.3">
      <c r="A4" s="133" t="s">
        <v>16</v>
      </c>
      <c r="B4" s="97" t="s">
        <v>17</v>
      </c>
      <c r="C4" s="133" t="s">
        <v>19</v>
      </c>
      <c r="D4" s="133"/>
      <c r="E4" s="133"/>
      <c r="F4" s="133"/>
    </row>
    <row r="5" spans="1:6" s="43" customFormat="1" x14ac:dyDescent="0.3">
      <c r="A5" s="133"/>
      <c r="B5" s="97" t="s">
        <v>18</v>
      </c>
      <c r="C5" s="133" t="s">
        <v>20</v>
      </c>
      <c r="D5" s="133" t="s">
        <v>21</v>
      </c>
      <c r="E5" s="133" t="s">
        <v>22</v>
      </c>
      <c r="F5" s="133" t="s">
        <v>23</v>
      </c>
    </row>
    <row r="6" spans="1:6" s="43" customFormat="1" x14ac:dyDescent="0.3">
      <c r="A6" s="133"/>
      <c r="B6" s="89"/>
      <c r="C6" s="133"/>
      <c r="D6" s="133"/>
      <c r="E6" s="133"/>
      <c r="F6" s="133"/>
    </row>
    <row r="7" spans="1:6" s="43" customFormat="1" x14ac:dyDescent="0.3">
      <c r="A7" s="96">
        <v>1</v>
      </c>
      <c r="B7" s="96">
        <v>2</v>
      </c>
      <c r="C7" s="96">
        <v>3</v>
      </c>
      <c r="D7" s="96">
        <v>4</v>
      </c>
      <c r="E7" s="96">
        <v>5</v>
      </c>
      <c r="F7" s="96">
        <v>6</v>
      </c>
    </row>
    <row r="8" spans="1:6" s="43" customFormat="1" x14ac:dyDescent="0.3">
      <c r="A8" s="132" t="s">
        <v>119</v>
      </c>
      <c r="B8" s="132"/>
      <c r="C8" s="132"/>
      <c r="D8" s="132"/>
      <c r="E8" s="132"/>
      <c r="F8" s="132"/>
    </row>
    <row r="9" spans="1:6" s="43" customFormat="1" ht="34.200000000000003" customHeight="1" x14ac:dyDescent="0.3">
      <c r="A9" s="27" t="s">
        <v>120</v>
      </c>
      <c r="B9" s="26">
        <v>3000</v>
      </c>
      <c r="C9" s="71">
        <f>SUM(C10:C14)</f>
        <v>6556.5</v>
      </c>
      <c r="D9" s="71">
        <f t="shared" ref="D9" si="0">SUM(D10:D14)</f>
        <v>7857.1</v>
      </c>
      <c r="E9" s="71">
        <f t="shared" ref="E9" si="1">D9-C9</f>
        <v>1300.6000000000004</v>
      </c>
      <c r="F9" s="83">
        <f>D9/C9</f>
        <v>1.1983680317242431</v>
      </c>
    </row>
    <row r="10" spans="1:6" s="43" customFormat="1" ht="42" customHeight="1" x14ac:dyDescent="0.3">
      <c r="A10" s="22" t="s">
        <v>121</v>
      </c>
      <c r="B10" s="81">
        <v>3001</v>
      </c>
      <c r="C10" s="82">
        <v>32.4</v>
      </c>
      <c r="D10" s="82">
        <v>95.5</v>
      </c>
      <c r="E10" s="82">
        <f t="shared" ref="E10" si="2">D10-C10</f>
        <v>63.1</v>
      </c>
      <c r="F10" s="84">
        <f>D10/C10</f>
        <v>2.9475308641975309</v>
      </c>
    </row>
    <row r="11" spans="1:6" s="43" customFormat="1" ht="23.4" customHeight="1" x14ac:dyDescent="0.3">
      <c r="A11" s="85" t="s">
        <v>26</v>
      </c>
      <c r="B11" s="81">
        <v>3002</v>
      </c>
      <c r="C11" s="82">
        <f>'Таблиця 1'!C26</f>
        <v>1429.5</v>
      </c>
      <c r="D11" s="82">
        <f>'Таблиця 1'!D26</f>
        <v>1134.5999999999999</v>
      </c>
      <c r="E11" s="82">
        <f>D11-C11</f>
        <v>-294.90000000000009</v>
      </c>
      <c r="F11" s="84">
        <f t="shared" ref="F11" si="3">D11/C11</f>
        <v>0.79370409233997896</v>
      </c>
    </row>
    <row r="12" spans="1:6" s="43" customFormat="1" ht="26.4" customHeight="1" x14ac:dyDescent="0.3">
      <c r="A12" s="85" t="s">
        <v>27</v>
      </c>
      <c r="B12" s="81">
        <v>3003</v>
      </c>
      <c r="C12" s="82"/>
      <c r="D12" s="82"/>
      <c r="E12" s="82"/>
      <c r="F12" s="84"/>
    </row>
    <row r="13" spans="1:6" s="43" customFormat="1" x14ac:dyDescent="0.3">
      <c r="A13" s="85" t="s">
        <v>28</v>
      </c>
      <c r="B13" s="81">
        <v>3004</v>
      </c>
      <c r="C13" s="82">
        <f>'Таблиця 1'!C28</f>
        <v>5074</v>
      </c>
      <c r="D13" s="82">
        <f>'Таблиця 1'!D28</f>
        <v>3634.1</v>
      </c>
      <c r="E13" s="82">
        <f t="shared" ref="E13:E14" si="4">D13-C13</f>
        <v>-1439.9</v>
      </c>
      <c r="F13" s="84">
        <f>D13/C13</f>
        <v>0.71621994481671258</v>
      </c>
    </row>
    <row r="14" spans="1:6" s="43" customFormat="1" x14ac:dyDescent="0.3">
      <c r="A14" s="85" t="s">
        <v>29</v>
      </c>
      <c r="B14" s="81">
        <v>3005</v>
      </c>
      <c r="C14" s="82">
        <f>'Таблиця 1'!C29-C21-C10</f>
        <v>20.6</v>
      </c>
      <c r="D14" s="82">
        <f>'Таблиця 1'!D29-D21-D10</f>
        <v>2992.9</v>
      </c>
      <c r="E14" s="82">
        <f t="shared" si="4"/>
        <v>2972.3</v>
      </c>
      <c r="F14" s="84">
        <f>D14/C14</f>
        <v>145.28640776699029</v>
      </c>
    </row>
    <row r="15" spans="1:6" ht="28.2" customHeight="1" x14ac:dyDescent="0.3">
      <c r="A15" s="22" t="s">
        <v>122</v>
      </c>
      <c r="B15" s="81">
        <v>3100</v>
      </c>
      <c r="C15" s="86"/>
      <c r="D15" s="82"/>
      <c r="E15" s="86"/>
      <c r="F15" s="87"/>
    </row>
    <row r="16" spans="1:6" ht="20.399999999999999" customHeight="1" x14ac:dyDescent="0.3">
      <c r="A16" s="22" t="s">
        <v>123</v>
      </c>
      <c r="B16" s="81">
        <v>3101</v>
      </c>
      <c r="C16" s="86"/>
      <c r="D16" s="82"/>
      <c r="E16" s="86"/>
      <c r="F16" s="87"/>
    </row>
    <row r="17" spans="1:6" ht="18.600000000000001" customHeight="1" x14ac:dyDescent="0.3">
      <c r="A17" s="22" t="s">
        <v>124</v>
      </c>
      <c r="B17" s="81">
        <v>3200</v>
      </c>
      <c r="C17" s="86"/>
      <c r="D17" s="82"/>
      <c r="E17" s="86"/>
      <c r="F17" s="87"/>
    </row>
    <row r="18" spans="1:6" ht="31.8" customHeight="1" x14ac:dyDescent="0.3">
      <c r="A18" s="22" t="s">
        <v>125</v>
      </c>
      <c r="B18" s="81">
        <v>3300</v>
      </c>
      <c r="C18" s="86"/>
      <c r="D18" s="82"/>
      <c r="E18" s="86"/>
      <c r="F18" s="87"/>
    </row>
    <row r="19" spans="1:6" ht="29.4" customHeight="1" x14ac:dyDescent="0.3">
      <c r="A19" s="22" t="s">
        <v>126</v>
      </c>
      <c r="B19" s="81">
        <v>3400</v>
      </c>
      <c r="C19" s="86"/>
      <c r="D19" s="82"/>
      <c r="E19" s="86"/>
      <c r="F19" s="87"/>
    </row>
    <row r="20" spans="1:6" ht="24" customHeight="1" x14ac:dyDescent="0.3">
      <c r="A20" s="22" t="s">
        <v>127</v>
      </c>
      <c r="B20" s="81">
        <v>3500</v>
      </c>
      <c r="C20" s="86"/>
      <c r="D20" s="82"/>
      <c r="E20" s="86"/>
      <c r="F20" s="87"/>
    </row>
    <row r="21" spans="1:6" ht="30.6" customHeight="1" x14ac:dyDescent="0.3">
      <c r="A21" s="22" t="s">
        <v>128</v>
      </c>
      <c r="B21" s="81">
        <v>3600</v>
      </c>
      <c r="C21" s="86"/>
      <c r="D21" s="82"/>
      <c r="E21" s="86"/>
      <c r="F21" s="87"/>
    </row>
    <row r="22" spans="1:6" s="43" customFormat="1" ht="30.6" customHeight="1" x14ac:dyDescent="0.3">
      <c r="A22" s="27" t="s">
        <v>129</v>
      </c>
      <c r="B22" s="26">
        <v>3700</v>
      </c>
      <c r="C22" s="71">
        <f>'Таблиця 1'!C91</f>
        <v>6543</v>
      </c>
      <c r="D22" s="71">
        <f>'Таблиця 1'!D101</f>
        <v>8145.6</v>
      </c>
      <c r="E22" s="71">
        <f t="shared" ref="E22:E23" si="5">D22-C22</f>
        <v>1602.6000000000004</v>
      </c>
      <c r="F22" s="83">
        <f t="shared" ref="F22:F23" si="6">D22/C22</f>
        <v>1.2449335167354425</v>
      </c>
    </row>
    <row r="23" spans="1:6" s="43" customFormat="1" ht="36" customHeight="1" x14ac:dyDescent="0.3">
      <c r="A23" s="22" t="s">
        <v>130</v>
      </c>
      <c r="B23" s="81">
        <v>3701</v>
      </c>
      <c r="C23" s="82"/>
      <c r="D23" s="82">
        <f>D22-'Таблиця 1'!D97-'Таблиця 1'!D98</f>
        <v>3559.2000000000007</v>
      </c>
      <c r="E23" s="82">
        <f t="shared" si="5"/>
        <v>3559.2000000000007</v>
      </c>
      <c r="F23" s="84" t="e">
        <f t="shared" si="6"/>
        <v>#DIV/0!</v>
      </c>
    </row>
    <row r="24" spans="1:6" s="43" customFormat="1" ht="24" customHeight="1" x14ac:dyDescent="0.3">
      <c r="A24" s="22" t="s">
        <v>131</v>
      </c>
      <c r="B24" s="81">
        <v>3702</v>
      </c>
      <c r="C24" s="82">
        <f>'Таблиця 1'!C97</f>
        <v>4150</v>
      </c>
      <c r="D24" s="82">
        <f>'Таблиця 1'!D97</f>
        <v>3801.7</v>
      </c>
      <c r="E24" s="82">
        <f>D24-C24</f>
        <v>-348.30000000000018</v>
      </c>
      <c r="F24" s="84">
        <f>D24/C24</f>
        <v>0.91607228915662642</v>
      </c>
    </row>
    <row r="25" spans="1:6" s="43" customFormat="1" ht="38.4" customHeight="1" x14ac:dyDescent="0.3">
      <c r="A25" s="22" t="s">
        <v>132</v>
      </c>
      <c r="B25" s="81">
        <v>3703</v>
      </c>
      <c r="C25" s="82"/>
      <c r="D25" s="82"/>
      <c r="E25" s="82"/>
      <c r="F25" s="84"/>
    </row>
    <row r="26" spans="1:6" s="43" customFormat="1" ht="48" customHeight="1" x14ac:dyDescent="0.3">
      <c r="A26" s="22" t="s">
        <v>133</v>
      </c>
      <c r="B26" s="81">
        <v>3800</v>
      </c>
      <c r="C26" s="82">
        <f>'Таблиця 2'!C21+'Таблиця 2'!C15</f>
        <v>1703.25</v>
      </c>
      <c r="D26" s="82">
        <f>'Таблиця 2'!D21+'Таблиця 2'!D15</f>
        <v>1668.1</v>
      </c>
      <c r="E26" s="82">
        <f t="shared" ref="E26" si="7">D26-C26</f>
        <v>-35.150000000000091</v>
      </c>
      <c r="F26" s="84">
        <f t="shared" ref="F26" si="8">D26/C26</f>
        <v>0.97936298253339205</v>
      </c>
    </row>
    <row r="27" spans="1:6" s="43" customFormat="1" ht="24" customHeight="1" x14ac:dyDescent="0.3">
      <c r="A27" s="22" t="s">
        <v>183</v>
      </c>
      <c r="B27" s="81">
        <v>3801</v>
      </c>
      <c r="C27" s="82">
        <f>'Таблиця 2'!C16</f>
        <v>747</v>
      </c>
      <c r="D27" s="82">
        <f>'Таблиця 2'!D16</f>
        <v>684.9</v>
      </c>
      <c r="E27" s="82">
        <f t="shared" ref="E27" si="9">D27-C27</f>
        <v>-62.100000000000023</v>
      </c>
      <c r="F27" s="84">
        <f t="shared" ref="F27" si="10">D27/C27</f>
        <v>0.91686746987951806</v>
      </c>
    </row>
    <row r="28" spans="1:6" ht="23.4" customHeight="1" x14ac:dyDescent="0.3">
      <c r="A28" s="22" t="s">
        <v>134</v>
      </c>
      <c r="B28" s="81">
        <v>3900</v>
      </c>
      <c r="C28" s="86"/>
      <c r="D28" s="82"/>
      <c r="E28" s="86"/>
      <c r="F28" s="87"/>
    </row>
    <row r="29" spans="1:6" ht="21" customHeight="1" x14ac:dyDescent="0.3">
      <c r="A29" s="22" t="s">
        <v>135</v>
      </c>
      <c r="B29" s="81">
        <v>4000</v>
      </c>
      <c r="C29" s="86"/>
      <c r="D29" s="82"/>
      <c r="E29" s="86"/>
      <c r="F29" s="87"/>
    </row>
    <row r="30" spans="1:6" ht="22.8" customHeight="1" x14ac:dyDescent="0.3">
      <c r="A30" s="22" t="s">
        <v>38</v>
      </c>
      <c r="B30" s="81">
        <v>5000</v>
      </c>
      <c r="C30" s="86"/>
      <c r="D30" s="82"/>
      <c r="E30" s="86"/>
      <c r="F30" s="87"/>
    </row>
    <row r="31" spans="1:6" s="43" customFormat="1" ht="33" customHeight="1" x14ac:dyDescent="0.3">
      <c r="A31" s="27" t="s">
        <v>136</v>
      </c>
      <c r="B31" s="81">
        <v>6000</v>
      </c>
      <c r="C31" s="80">
        <f>'Таблиця 1'!C92</f>
        <v>13.5</v>
      </c>
      <c r="D31" s="80">
        <f>'Таблиця 1'!D92</f>
        <v>-288.5</v>
      </c>
      <c r="E31" s="82"/>
      <c r="F31" s="84"/>
    </row>
    <row r="32" spans="1:6" x14ac:dyDescent="0.3">
      <c r="A32" s="132" t="s">
        <v>137</v>
      </c>
      <c r="B32" s="132"/>
      <c r="C32" s="132"/>
      <c r="D32" s="132"/>
      <c r="E32" s="132"/>
      <c r="F32" s="132"/>
    </row>
    <row r="33" spans="1:6" ht="38.4" customHeight="1" x14ac:dyDescent="0.3">
      <c r="A33" s="27" t="s">
        <v>138</v>
      </c>
      <c r="B33" s="81">
        <v>7000</v>
      </c>
      <c r="C33" s="88"/>
      <c r="D33" s="89"/>
      <c r="E33" s="88"/>
      <c r="F33" s="88"/>
    </row>
    <row r="34" spans="1:6" ht="32.4" customHeight="1" x14ac:dyDescent="0.3">
      <c r="A34" s="22" t="s">
        <v>139</v>
      </c>
      <c r="B34" s="81">
        <v>7001</v>
      </c>
      <c r="C34" s="88"/>
      <c r="D34" s="89"/>
      <c r="E34" s="88"/>
      <c r="F34" s="88"/>
    </row>
    <row r="35" spans="1:6" ht="25.8" customHeight="1" x14ac:dyDescent="0.3">
      <c r="A35" s="22" t="s">
        <v>127</v>
      </c>
      <c r="B35" s="81">
        <v>7002</v>
      </c>
      <c r="C35" s="88"/>
      <c r="D35" s="89"/>
      <c r="E35" s="88"/>
      <c r="F35" s="88"/>
    </row>
    <row r="36" spans="1:6" ht="39" customHeight="1" x14ac:dyDescent="0.3">
      <c r="A36" s="22" t="s">
        <v>140</v>
      </c>
      <c r="B36" s="81">
        <v>8000</v>
      </c>
      <c r="C36" s="88"/>
      <c r="D36" s="89"/>
      <c r="E36" s="88"/>
      <c r="F36" s="88"/>
    </row>
    <row r="37" spans="1:6" ht="40.799999999999997" customHeight="1" x14ac:dyDescent="0.3">
      <c r="A37" s="22" t="s">
        <v>141</v>
      </c>
      <c r="B37" s="81">
        <v>8001</v>
      </c>
      <c r="C37" s="88"/>
      <c r="D37" s="89"/>
      <c r="E37" s="88"/>
      <c r="F37" s="88"/>
    </row>
    <row r="38" spans="1:6" ht="36.6" customHeight="1" x14ac:dyDescent="0.3">
      <c r="A38" s="22" t="s">
        <v>142</v>
      </c>
      <c r="B38" s="81">
        <v>8002</v>
      </c>
      <c r="C38" s="88"/>
      <c r="D38" s="89"/>
      <c r="E38" s="88"/>
      <c r="F38" s="88"/>
    </row>
    <row r="39" spans="1:6" ht="27" customHeight="1" x14ac:dyDescent="0.3">
      <c r="A39" s="22" t="s">
        <v>38</v>
      </c>
      <c r="B39" s="81">
        <v>8003</v>
      </c>
      <c r="C39" s="88"/>
      <c r="D39" s="89"/>
      <c r="E39" s="88"/>
      <c r="F39" s="88"/>
    </row>
    <row r="40" spans="1:6" ht="51" customHeight="1" x14ac:dyDescent="0.3">
      <c r="A40" s="22" t="s">
        <v>143</v>
      </c>
      <c r="B40" s="81">
        <v>9000</v>
      </c>
      <c r="C40" s="88"/>
      <c r="D40" s="89"/>
      <c r="E40" s="88"/>
      <c r="F40" s="88"/>
    </row>
    <row r="41" spans="1:6" x14ac:dyDescent="0.3">
      <c r="A41" s="22" t="s">
        <v>144</v>
      </c>
      <c r="B41" s="81">
        <v>9001</v>
      </c>
      <c r="C41" s="88"/>
      <c r="D41" s="89"/>
      <c r="E41" s="88"/>
      <c r="F41" s="88"/>
    </row>
    <row r="42" spans="1:6" ht="33" customHeight="1" x14ac:dyDescent="0.3">
      <c r="A42" s="27" t="s">
        <v>145</v>
      </c>
      <c r="B42" s="81">
        <v>10000</v>
      </c>
      <c r="C42" s="88"/>
      <c r="D42" s="89"/>
      <c r="E42" s="88"/>
      <c r="F42" s="88"/>
    </row>
    <row r="43" spans="1:6" ht="32.4" customHeight="1" x14ac:dyDescent="0.3">
      <c r="A43" s="27" t="s">
        <v>146</v>
      </c>
      <c r="B43" s="81">
        <v>10100</v>
      </c>
      <c r="C43" s="89">
        <f>C9</f>
        <v>6556.5</v>
      </c>
      <c r="D43" s="89">
        <f>D9</f>
        <v>7857.1</v>
      </c>
      <c r="E43" s="89">
        <f>D43-C43</f>
        <v>1300.6000000000004</v>
      </c>
      <c r="F43" s="90">
        <f>D43/C43</f>
        <v>1.1983680317242431</v>
      </c>
    </row>
    <row r="44" spans="1:6" ht="30" customHeight="1" x14ac:dyDescent="0.3">
      <c r="A44" s="22" t="s">
        <v>147</v>
      </c>
      <c r="B44" s="81">
        <v>10200</v>
      </c>
      <c r="C44" s="92">
        <f>'Таблиця 2'!C8</f>
        <v>46.9</v>
      </c>
      <c r="D44" s="89">
        <f>'Таблиця 2'!D8</f>
        <v>576.9</v>
      </c>
      <c r="E44" s="89">
        <f t="shared" ref="E44:E45" si="11">D44-C44</f>
        <v>530</v>
      </c>
      <c r="F44" s="90"/>
    </row>
    <row r="45" spans="1:6" ht="22.8" customHeight="1" x14ac:dyDescent="0.3">
      <c r="A45" s="22" t="s">
        <v>148</v>
      </c>
      <c r="B45" s="81">
        <v>10300</v>
      </c>
      <c r="C45" s="89">
        <f>'Таблиця 2'!C14</f>
        <v>60.4</v>
      </c>
      <c r="D45" s="89">
        <f>'Таблиця 1'!D92+D44</f>
        <v>288.39999999999998</v>
      </c>
      <c r="E45" s="89">
        <f t="shared" si="11"/>
        <v>227.99999999999997</v>
      </c>
      <c r="F45" s="90">
        <f t="shared" ref="F45" si="12">D45/C45</f>
        <v>4.774834437086092</v>
      </c>
    </row>
    <row r="46" spans="1:6" s="43" customFormat="1" x14ac:dyDescent="0.3"/>
    <row r="47" spans="1:6" s="43" customFormat="1" x14ac:dyDescent="0.3"/>
    <row r="48" spans="1:6" s="43" customFormat="1" ht="15" customHeight="1" thickBot="1" x14ac:dyDescent="0.35">
      <c r="A48" s="16" t="s">
        <v>178</v>
      </c>
      <c r="B48" s="91"/>
      <c r="C48" s="91"/>
      <c r="D48" s="91"/>
      <c r="E48" s="130" t="s">
        <v>168</v>
      </c>
      <c r="F48" s="130"/>
    </row>
    <row r="49" spans="1:6" s="43" customFormat="1" ht="24" customHeight="1" x14ac:dyDescent="0.3">
      <c r="A49" s="21" t="s">
        <v>92</v>
      </c>
      <c r="B49" s="72" t="s">
        <v>93</v>
      </c>
      <c r="C49" s="72"/>
      <c r="D49" s="131" t="s">
        <v>94</v>
      </c>
      <c r="E49" s="131"/>
      <c r="F49" s="131"/>
    </row>
    <row r="50" spans="1:6" x14ac:dyDescent="0.3">
      <c r="A50" s="43"/>
      <c r="B50" s="43"/>
    </row>
    <row r="51" spans="1:6" x14ac:dyDescent="0.3">
      <c r="A51" s="43"/>
      <c r="B51" s="43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0" sqref="D10"/>
    </sheetView>
  </sheetViews>
  <sheetFormatPr defaultRowHeight="14.4" x14ac:dyDescent="0.3"/>
  <cols>
    <col min="1" max="1" width="39.109375" style="31" customWidth="1"/>
    <col min="2" max="2" width="8.88671875" style="31"/>
    <col min="3" max="3" width="11.88671875" style="31" customWidth="1"/>
    <col min="4" max="4" width="10.88671875" style="31" customWidth="1"/>
    <col min="5" max="5" width="11.6640625" style="31" customWidth="1"/>
    <col min="6" max="6" width="14" style="31" customWidth="1"/>
    <col min="7" max="16384" width="8.88671875" style="31"/>
  </cols>
  <sheetData>
    <row r="1" spans="1:7" x14ac:dyDescent="0.3">
      <c r="A1" s="53"/>
      <c r="F1" s="53" t="s">
        <v>149</v>
      </c>
    </row>
    <row r="2" spans="1:7" x14ac:dyDescent="0.3">
      <c r="A2" s="135" t="s">
        <v>150</v>
      </c>
      <c r="B2" s="135"/>
      <c r="C2" s="135"/>
      <c r="D2" s="135"/>
      <c r="E2" s="135"/>
      <c r="F2" s="135"/>
    </row>
    <row r="3" spans="1:7" ht="15" thickBot="1" x14ac:dyDescent="0.35">
      <c r="A3" s="54"/>
    </row>
    <row r="4" spans="1:7" ht="15" thickBot="1" x14ac:dyDescent="0.35">
      <c r="A4" s="136" t="s">
        <v>16</v>
      </c>
      <c r="B4" s="32" t="s">
        <v>17</v>
      </c>
      <c r="C4" s="139" t="s">
        <v>19</v>
      </c>
      <c r="D4" s="140"/>
      <c r="E4" s="140"/>
      <c r="F4" s="141"/>
    </row>
    <row r="5" spans="1:7" x14ac:dyDescent="0.3">
      <c r="A5" s="137"/>
      <c r="B5" s="33" t="s">
        <v>18</v>
      </c>
      <c r="C5" s="136" t="s">
        <v>20</v>
      </c>
      <c r="D5" s="136" t="s">
        <v>21</v>
      </c>
      <c r="E5" s="136" t="s">
        <v>22</v>
      </c>
      <c r="F5" s="136" t="s">
        <v>23</v>
      </c>
    </row>
    <row r="6" spans="1:7" ht="15" thickBot="1" x14ac:dyDescent="0.35">
      <c r="A6" s="138"/>
      <c r="B6" s="34"/>
      <c r="C6" s="138"/>
      <c r="D6" s="138"/>
      <c r="E6" s="138"/>
      <c r="F6" s="138"/>
    </row>
    <row r="7" spans="1:7" ht="15" thickBot="1" x14ac:dyDescent="0.35">
      <c r="A7" s="35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</row>
    <row r="8" spans="1:7" ht="27" thickBot="1" x14ac:dyDescent="0.35">
      <c r="A8" s="37" t="s">
        <v>151</v>
      </c>
      <c r="B8" s="36">
        <v>11000</v>
      </c>
      <c r="C8" s="55">
        <f>SUM(C9:C14)</f>
        <v>0</v>
      </c>
      <c r="D8" s="55">
        <f t="shared" ref="D8:F8" si="0">SUM(D9:D14)</f>
        <v>2141.9</v>
      </c>
      <c r="E8" s="55">
        <f t="shared" si="0"/>
        <v>2141.9</v>
      </c>
      <c r="F8" s="55">
        <f t="shared" si="0"/>
        <v>0</v>
      </c>
    </row>
    <row r="9" spans="1:7" ht="15" thickBot="1" x14ac:dyDescent="0.35">
      <c r="A9" s="39" t="s">
        <v>152</v>
      </c>
      <c r="B9" s="38">
        <v>11001</v>
      </c>
      <c r="C9" s="56"/>
      <c r="D9" s="56"/>
      <c r="E9" s="56"/>
      <c r="F9" s="56"/>
    </row>
    <row r="10" spans="1:7" ht="15" thickBot="1" x14ac:dyDescent="0.35">
      <c r="A10" s="39" t="s">
        <v>153</v>
      </c>
      <c r="B10" s="38">
        <v>11002</v>
      </c>
      <c r="C10" s="56">
        <v>0</v>
      </c>
      <c r="D10" s="56">
        <f>'Таблиця 1'!D89</f>
        <v>2141.9</v>
      </c>
      <c r="E10" s="56">
        <f>D10-C10</f>
        <v>2141.9</v>
      </c>
      <c r="F10" s="57"/>
    </row>
    <row r="11" spans="1:7" ht="28.8" customHeight="1" thickBot="1" x14ac:dyDescent="0.35">
      <c r="A11" s="39" t="s">
        <v>154</v>
      </c>
      <c r="B11" s="38">
        <v>11003</v>
      </c>
      <c r="C11" s="56"/>
      <c r="D11" s="56"/>
      <c r="E11" s="56"/>
      <c r="F11" s="56"/>
    </row>
    <row r="12" spans="1:7" ht="15" thickBot="1" x14ac:dyDescent="0.35">
      <c r="A12" s="39" t="s">
        <v>155</v>
      </c>
      <c r="B12" s="38">
        <v>11004</v>
      </c>
      <c r="C12" s="56"/>
      <c r="D12" s="56"/>
      <c r="E12" s="56"/>
      <c r="F12" s="56"/>
    </row>
    <row r="13" spans="1:7" ht="40.200000000000003" thickBot="1" x14ac:dyDescent="0.35">
      <c r="A13" s="39" t="s">
        <v>143</v>
      </c>
      <c r="B13" s="38">
        <v>11005</v>
      </c>
      <c r="C13" s="56"/>
      <c r="D13" s="56"/>
      <c r="E13" s="56"/>
      <c r="F13" s="56"/>
    </row>
    <row r="14" spans="1:7" ht="15" thickBot="1" x14ac:dyDescent="0.35">
      <c r="A14" s="39" t="s">
        <v>144</v>
      </c>
      <c r="B14" s="38">
        <v>11006</v>
      </c>
      <c r="C14" s="56"/>
      <c r="D14" s="56"/>
      <c r="E14" s="56"/>
      <c r="F14" s="56"/>
    </row>
    <row r="15" spans="1:7" x14ac:dyDescent="0.3">
      <c r="A15" s="58"/>
    </row>
    <row r="16" spans="1:7" ht="19.2" customHeight="1" thickBot="1" x14ac:dyDescent="0.35">
      <c r="A16" s="16" t="s">
        <v>178</v>
      </c>
      <c r="B16" s="40"/>
      <c r="C16" s="40"/>
      <c r="D16" s="40"/>
      <c r="E16" s="129" t="s">
        <v>168</v>
      </c>
      <c r="F16" s="129"/>
      <c r="G16" s="42"/>
    </row>
    <row r="17" spans="1:7" ht="24" customHeight="1" x14ac:dyDescent="0.3">
      <c r="A17" s="41" t="s">
        <v>92</v>
      </c>
      <c r="B17" s="49" t="s">
        <v>93</v>
      </c>
      <c r="C17" s="49"/>
      <c r="D17" s="49"/>
      <c r="E17" s="134" t="s">
        <v>94</v>
      </c>
      <c r="F17" s="134"/>
      <c r="G17" s="59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C20" sqref="C20"/>
    </sheetView>
  </sheetViews>
  <sheetFormatPr defaultRowHeight="15.6" x14ac:dyDescent="0.3"/>
  <cols>
    <col min="1" max="1" width="58.21875" style="24" customWidth="1"/>
    <col min="2" max="2" width="12.21875" style="24" customWidth="1"/>
    <col min="3" max="4" width="11.6640625" style="24" customWidth="1"/>
    <col min="5" max="16384" width="8.88671875" style="24"/>
  </cols>
  <sheetData>
    <row r="1" spans="1:4" x14ac:dyDescent="0.3">
      <c r="A1" s="23"/>
      <c r="D1" s="23" t="s">
        <v>156</v>
      </c>
    </row>
    <row r="2" spans="1:4" x14ac:dyDescent="0.3">
      <c r="A2" s="126" t="s">
        <v>157</v>
      </c>
      <c r="B2" s="126"/>
      <c r="C2" s="126"/>
      <c r="D2" s="126"/>
    </row>
    <row r="3" spans="1:4" x14ac:dyDescent="0.3">
      <c r="A3" s="25"/>
    </row>
    <row r="4" spans="1:4" x14ac:dyDescent="0.3">
      <c r="A4" s="133" t="s">
        <v>16</v>
      </c>
      <c r="B4" s="133" t="s">
        <v>19</v>
      </c>
      <c r="C4" s="133"/>
      <c r="D4" s="133"/>
    </row>
    <row r="5" spans="1:4" x14ac:dyDescent="0.3">
      <c r="A5" s="133"/>
      <c r="B5" s="133" t="s">
        <v>20</v>
      </c>
      <c r="C5" s="133" t="s">
        <v>21</v>
      </c>
      <c r="D5" s="133" t="s">
        <v>22</v>
      </c>
    </row>
    <row r="6" spans="1:4" x14ac:dyDescent="0.3">
      <c r="A6" s="133"/>
      <c r="B6" s="133"/>
      <c r="C6" s="133"/>
      <c r="D6" s="133"/>
    </row>
    <row r="7" spans="1:4" x14ac:dyDescent="0.3">
      <c r="A7" s="98">
        <v>1</v>
      </c>
      <c r="B7" s="98">
        <v>2</v>
      </c>
      <c r="C7" s="98">
        <v>3</v>
      </c>
      <c r="D7" s="98">
        <v>4</v>
      </c>
    </row>
    <row r="8" spans="1:4" ht="45.6" customHeight="1" x14ac:dyDescent="0.3">
      <c r="A8" s="27" t="s">
        <v>180</v>
      </c>
      <c r="B8" s="98">
        <f>SUM(B9:B11)</f>
        <v>118</v>
      </c>
      <c r="C8" s="98">
        <f>SUM(C9:C11)</f>
        <v>118</v>
      </c>
      <c r="D8" s="98">
        <f>C8-B8</f>
        <v>0</v>
      </c>
    </row>
    <row r="9" spans="1:4" x14ac:dyDescent="0.3">
      <c r="A9" s="22" t="s">
        <v>158</v>
      </c>
      <c r="B9" s="99">
        <v>1</v>
      </c>
      <c r="C9" s="99">
        <v>1</v>
      </c>
      <c r="D9" s="99">
        <f t="shared" ref="D9:D27" si="0">C9-B9</f>
        <v>0</v>
      </c>
    </row>
    <row r="10" spans="1:4" x14ac:dyDescent="0.3">
      <c r="A10" s="22" t="s">
        <v>159</v>
      </c>
      <c r="B10" s="99">
        <v>21</v>
      </c>
      <c r="C10" s="99">
        <v>21</v>
      </c>
      <c r="D10" s="99">
        <f t="shared" si="0"/>
        <v>0</v>
      </c>
    </row>
    <row r="11" spans="1:4" x14ac:dyDescent="0.3">
      <c r="A11" s="22" t="s">
        <v>160</v>
      </c>
      <c r="B11" s="99">
        <v>96</v>
      </c>
      <c r="C11" s="99">
        <v>96</v>
      </c>
      <c r="D11" s="99">
        <f t="shared" si="0"/>
        <v>0</v>
      </c>
    </row>
    <row r="12" spans="1:4" x14ac:dyDescent="0.3">
      <c r="A12" s="27" t="s">
        <v>161</v>
      </c>
      <c r="B12" s="71">
        <f>SUM(B13:B15)</f>
        <v>4150</v>
      </c>
      <c r="C12" s="101">
        <f>SUM(C13:C15)</f>
        <v>3720.5</v>
      </c>
      <c r="D12" s="98">
        <f t="shared" si="0"/>
        <v>-429.5</v>
      </c>
    </row>
    <row r="13" spans="1:4" x14ac:dyDescent="0.3">
      <c r="A13" s="22" t="s">
        <v>158</v>
      </c>
      <c r="B13" s="99">
        <f>672/4</f>
        <v>168</v>
      </c>
      <c r="C13" s="100">
        <f>160.3-9.3-5.6</f>
        <v>145.4</v>
      </c>
      <c r="D13" s="100">
        <f>C13-B13</f>
        <v>-22.599999999999994</v>
      </c>
    </row>
    <row r="14" spans="1:4" x14ac:dyDescent="0.3">
      <c r="A14" s="22" t="s">
        <v>159</v>
      </c>
      <c r="B14" s="100">
        <f>'Таблиця 1'!C63-'Таблиця 5'!B13</f>
        <v>782</v>
      </c>
      <c r="C14" s="100">
        <f>'Таблиця 1'!D63-C13-61.8</f>
        <v>707.80000000000007</v>
      </c>
      <c r="D14" s="99">
        <f t="shared" si="0"/>
        <v>-74.199999999999932</v>
      </c>
    </row>
    <row r="15" spans="1:4" x14ac:dyDescent="0.3">
      <c r="A15" s="22" t="s">
        <v>160</v>
      </c>
      <c r="B15" s="99">
        <f>'Таблиця 1'!C34</f>
        <v>3200</v>
      </c>
      <c r="C15" s="100">
        <f>'Таблиця 1'!D97-C14-C13-81.2</f>
        <v>2867.2999999999997</v>
      </c>
      <c r="D15" s="99">
        <f t="shared" si="0"/>
        <v>-332.70000000000027</v>
      </c>
    </row>
    <row r="16" spans="1:4" ht="31.2" x14ac:dyDescent="0.3">
      <c r="A16" s="27" t="s">
        <v>162</v>
      </c>
      <c r="B16" s="101"/>
      <c r="C16" s="104"/>
      <c r="D16" s="101"/>
    </row>
    <row r="17" spans="1:5" x14ac:dyDescent="0.3">
      <c r="A17" s="22" t="s">
        <v>158</v>
      </c>
      <c r="B17" s="100">
        <f t="shared" ref="B17:C19" si="1">B13/3/B9</f>
        <v>56</v>
      </c>
      <c r="C17" s="100">
        <f>C13/3/C9</f>
        <v>48.466666666666669</v>
      </c>
      <c r="D17" s="100">
        <f t="shared" si="0"/>
        <v>-7.5333333333333314</v>
      </c>
    </row>
    <row r="18" spans="1:5" x14ac:dyDescent="0.3">
      <c r="A18" s="22" t="s">
        <v>159</v>
      </c>
      <c r="B18" s="100">
        <f t="shared" si="1"/>
        <v>12.412698412698413</v>
      </c>
      <c r="C18" s="100">
        <f>C14/3/C10</f>
        <v>11.234920634920636</v>
      </c>
      <c r="D18" s="100">
        <f t="shared" si="0"/>
        <v>-1.1777777777777771</v>
      </c>
    </row>
    <row r="19" spans="1:5" x14ac:dyDescent="0.3">
      <c r="A19" s="22" t="s">
        <v>160</v>
      </c>
      <c r="B19" s="100">
        <f t="shared" si="1"/>
        <v>11.111111111111112</v>
      </c>
      <c r="C19" s="100">
        <f t="shared" si="1"/>
        <v>9.9559027777777764</v>
      </c>
      <c r="D19" s="100">
        <f t="shared" si="0"/>
        <v>-1.1552083333333361</v>
      </c>
    </row>
    <row r="20" spans="1:5" x14ac:dyDescent="0.3">
      <c r="A20" s="27" t="s">
        <v>163</v>
      </c>
      <c r="B20" s="101">
        <f>SUM(B21:B23)</f>
        <v>4150</v>
      </c>
      <c r="C20" s="101">
        <f>SUM(C21:C23)</f>
        <v>3801.7</v>
      </c>
      <c r="D20" s="101">
        <f t="shared" si="0"/>
        <v>-348.30000000000018</v>
      </c>
    </row>
    <row r="21" spans="1:5" x14ac:dyDescent="0.3">
      <c r="A21" s="22" t="s">
        <v>158</v>
      </c>
      <c r="B21" s="100">
        <v>168</v>
      </c>
      <c r="C21" s="100">
        <v>160.30000000000001</v>
      </c>
      <c r="D21" s="100">
        <f t="shared" si="0"/>
        <v>-7.6999999999999886</v>
      </c>
    </row>
    <row r="22" spans="1:5" x14ac:dyDescent="0.3">
      <c r="A22" s="22" t="s">
        <v>159</v>
      </c>
      <c r="B22" s="100">
        <f>'Таблиця 1'!C63-B21</f>
        <v>782</v>
      </c>
      <c r="C22" s="100">
        <f>'Таблиця 1'!D63-C21</f>
        <v>754.7</v>
      </c>
      <c r="D22" s="100">
        <f t="shared" si="0"/>
        <v>-27.299999999999955</v>
      </c>
    </row>
    <row r="23" spans="1:5" x14ac:dyDescent="0.3">
      <c r="A23" s="22" t="s">
        <v>160</v>
      </c>
      <c r="B23" s="100">
        <f>'Таблиця 1'!C97-B22-B21</f>
        <v>3200</v>
      </c>
      <c r="C23" s="100">
        <f>'Таблиця 1'!D34</f>
        <v>2886.7</v>
      </c>
      <c r="D23" s="100">
        <f t="shared" si="0"/>
        <v>-313.30000000000018</v>
      </c>
    </row>
    <row r="24" spans="1:5" ht="31.2" x14ac:dyDescent="0.3">
      <c r="A24" s="27" t="s">
        <v>164</v>
      </c>
      <c r="B24" s="101"/>
      <c r="C24" s="101"/>
      <c r="D24" s="101"/>
    </row>
    <row r="25" spans="1:5" x14ac:dyDescent="0.3">
      <c r="A25" s="22" t="s">
        <v>158</v>
      </c>
      <c r="B25" s="100">
        <f>B21/3/B9</f>
        <v>56</v>
      </c>
      <c r="C25" s="100">
        <f t="shared" ref="B25:C27" si="2">C21/3/C9</f>
        <v>53.433333333333337</v>
      </c>
      <c r="D25" s="100">
        <f t="shared" si="0"/>
        <v>-2.5666666666666629</v>
      </c>
    </row>
    <row r="26" spans="1:5" x14ac:dyDescent="0.3">
      <c r="A26" s="22" t="s">
        <v>159</v>
      </c>
      <c r="B26" s="100">
        <f t="shared" si="2"/>
        <v>12.412698412698413</v>
      </c>
      <c r="C26" s="100">
        <f t="shared" si="2"/>
        <v>11.979365079365081</v>
      </c>
      <c r="D26" s="100">
        <f t="shared" si="0"/>
        <v>-0.43333333333333179</v>
      </c>
    </row>
    <row r="27" spans="1:5" x14ac:dyDescent="0.3">
      <c r="A27" s="22" t="s">
        <v>160</v>
      </c>
      <c r="B27" s="100">
        <f t="shared" si="2"/>
        <v>11.111111111111112</v>
      </c>
      <c r="C27" s="100">
        <f t="shared" si="2"/>
        <v>10.023263888888888</v>
      </c>
      <c r="D27" s="100">
        <f t="shared" si="0"/>
        <v>-1.0878472222222246</v>
      </c>
    </row>
    <row r="28" spans="1:5" x14ac:dyDescent="0.3">
      <c r="A28" s="28"/>
    </row>
    <row r="29" spans="1:5" x14ac:dyDescent="0.3">
      <c r="A29" s="28"/>
    </row>
    <row r="30" spans="1:5" ht="16.2" customHeight="1" thickBot="1" x14ac:dyDescent="0.35">
      <c r="A30" s="16" t="s">
        <v>178</v>
      </c>
      <c r="B30" s="129" t="s">
        <v>168</v>
      </c>
      <c r="C30" s="129"/>
      <c r="D30" s="129"/>
      <c r="E30" s="42"/>
    </row>
    <row r="31" spans="1:5" x14ac:dyDescent="0.3">
      <c r="A31" s="21" t="s">
        <v>172</v>
      </c>
      <c r="B31" s="72"/>
      <c r="C31" s="142" t="s">
        <v>171</v>
      </c>
      <c r="D31" s="142"/>
      <c r="E31" s="60"/>
    </row>
    <row r="32" spans="1:5" x14ac:dyDescent="0.3">
      <c r="A32" s="28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2025-09-09T19:50:00Z</dcterms:modified>
</cp:coreProperties>
</file>